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tigermailauburn-my.sharepoint.com/personal/tmg0067_auburn_edu/Documents/Auburn/Extension/Oyster budget/"/>
    </mc:Choice>
  </mc:AlternateContent>
  <xr:revisionPtr revIDLastSave="10" documentId="8_{AEB2A68C-3A41-4371-B88B-2E16A99EC9FC}" xr6:coauthVersionLast="47" xr6:coauthVersionMax="47" xr10:uidLastSave="{DE77D0C5-06C3-4CB7-955C-9B0A79E562F0}"/>
  <bookViews>
    <workbookView xWindow="-120" yWindow="-120" windowWidth="29040" windowHeight="17520" xr2:uid="{73D35723-C334-4A4C-924D-0A5B26CE2034}"/>
  </bookViews>
  <sheets>
    <sheet name="Start Here" sheetId="1" r:id="rId1"/>
    <sheet name="Budget" sheetId="3" r:id="rId2"/>
    <sheet name="Capital costs" sheetId="2" r:id="rId3"/>
    <sheet name="Sensitivity_Price and Survival" sheetId="4" r:id="rId4"/>
    <sheet name="Sensitivity_Price and Labor" sheetId="5" r:id="rId5"/>
  </sheets>
  <definedNames>
    <definedName name="Bags_per_cage">'Start Here'!#REF!</definedName>
    <definedName name="Cages">'Start Here'!$C$8</definedName>
    <definedName name="Cages_per_run">'Start Here'!#REF!</definedName>
    <definedName name="CostofProduction">Budget!$E$36</definedName>
    <definedName name="Farm_size">'Start Here'!$C$7</definedName>
    <definedName name="Grow_out_length">'Start Here'!#REF!</definedName>
    <definedName name="Labor_Costs">Budget!$E$9</definedName>
    <definedName name="NET_RETURNS">Budget!$E$35</definedName>
    <definedName name="Oyster_seed_planted">'Start Here'!$C$5</definedName>
    <definedName name="Price">'Start Here'!$C$11</definedName>
    <definedName name="Profitperoyster">Budget!$F$35</definedName>
    <definedName name="Runs_per_acre">'Start Here'!#REF!</definedName>
    <definedName name="Stocking_density_at_final_growout">'Start Here'!$C$10</definedName>
    <definedName name="Survival">'Start Here'!$C$9</definedName>
    <definedName name="Target_annual_oyster_production">'Start Here'!$C$4</definedName>
    <definedName name="TOTAL_COSTS">Budget!$E$32</definedName>
    <definedName name="TOTAL_COSTS__MINUS_LABOR">Budget!$E$33</definedName>
    <definedName name="TOTAL_FIXED_COSTS">Budget!$E$30</definedName>
    <definedName name="TOTAL_REVENUE">Budget!$E$5</definedName>
    <definedName name="TOTAL_VARIABLE_COSTS">Budget!$E$19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3" i="3" l="1"/>
  <c r="E21" i="2" l="1"/>
  <c r="G21" i="2" s="1"/>
  <c r="C4" i="1"/>
  <c r="C5" i="1" s="1"/>
  <c r="D8" i="3" s="1"/>
  <c r="E15" i="2" l="1"/>
  <c r="E13" i="2"/>
  <c r="C6" i="2"/>
  <c r="C8" i="2" s="1"/>
  <c r="C5" i="2"/>
  <c r="C7" i="2" s="1"/>
  <c r="D14" i="3"/>
  <c r="E10" i="3"/>
  <c r="E11" i="3"/>
  <c r="D12" i="3"/>
  <c r="E12" i="3" s="1"/>
  <c r="C17" i="5"/>
  <c r="C16" i="5" s="1"/>
  <c r="C15" i="5" s="1"/>
  <c r="C14" i="5" s="1"/>
  <c r="C13" i="5" s="1"/>
  <c r="C12" i="5" s="1"/>
  <c r="C11" i="5" s="1"/>
  <c r="C10" i="5" s="1"/>
  <c r="C9" i="5" s="1"/>
  <c r="C8" i="5" s="1"/>
  <c r="C40" i="4"/>
  <c r="C41" i="4" s="1"/>
  <c r="C42" i="4" s="1"/>
  <c r="C43" i="4" s="1"/>
  <c r="C44" i="4" s="1"/>
  <c r="C45" i="4" s="1"/>
  <c r="C46" i="4" s="1"/>
  <c r="C47" i="4" s="1"/>
  <c r="C48" i="4" s="1"/>
  <c r="C16" i="4"/>
  <c r="C15" i="4" s="1"/>
  <c r="C14" i="4" s="1"/>
  <c r="C13" i="4" s="1"/>
  <c r="C12" i="4" s="1"/>
  <c r="C11" i="4" s="1"/>
  <c r="C10" i="4" s="1"/>
  <c r="C9" i="4" s="1"/>
  <c r="C8" i="4" s="1"/>
  <c r="C7" i="4" s="1"/>
  <c r="D26" i="3"/>
  <c r="E26" i="3" s="1"/>
  <c r="J30" i="4"/>
  <c r="I30" i="4" s="1"/>
  <c r="H30" i="4" s="1"/>
  <c r="G30" i="4" s="1"/>
  <c r="F30" i="4" s="1"/>
  <c r="E30" i="4" s="1"/>
  <c r="D30" i="4" s="1"/>
  <c r="J6" i="4"/>
  <c r="D16" i="3"/>
  <c r="C4" i="3"/>
  <c r="E19" i="2"/>
  <c r="G19" i="2" s="1"/>
  <c r="E18" i="2"/>
  <c r="G18" i="2" s="1"/>
  <c r="C16" i="2"/>
  <c r="E20" i="2"/>
  <c r="G20" i="2" s="1"/>
  <c r="E9" i="2"/>
  <c r="G9" i="2" s="1"/>
  <c r="D10" i="2"/>
  <c r="E12" i="2"/>
  <c r="G12" i="2" s="1"/>
  <c r="E11" i="2"/>
  <c r="G11" i="2" s="1"/>
  <c r="D4" i="3" l="1"/>
  <c r="D5" i="3" s="1"/>
  <c r="F26" i="3" s="1"/>
  <c r="C3" i="2"/>
  <c r="E9" i="3"/>
  <c r="C39" i="4"/>
  <c r="C38" i="4" s="1"/>
  <c r="C37" i="4" s="1"/>
  <c r="C36" i="4" s="1"/>
  <c r="C35" i="4" s="1"/>
  <c r="C34" i="4" s="1"/>
  <c r="C33" i="4" s="1"/>
  <c r="C32" i="4" s="1"/>
  <c r="C31" i="4" s="1"/>
  <c r="C18" i="5"/>
  <c r="C19" i="5" s="1"/>
  <c r="C20" i="5" s="1"/>
  <c r="C21" i="5" s="1"/>
  <c r="C22" i="5" s="1"/>
  <c r="C23" i="5" s="1"/>
  <c r="C24" i="5" s="1"/>
  <c r="C25" i="5" s="1"/>
  <c r="C17" i="4"/>
  <c r="C18" i="4" s="1"/>
  <c r="C19" i="4" s="1"/>
  <c r="C20" i="4" s="1"/>
  <c r="C21" i="4" s="1"/>
  <c r="C22" i="4" s="1"/>
  <c r="C23" i="4" s="1"/>
  <c r="C24" i="4" s="1"/>
  <c r="K6" i="4"/>
  <c r="L6" i="4" s="1"/>
  <c r="K30" i="4"/>
  <c r="I6" i="4"/>
  <c r="F10" i="3" l="1"/>
  <c r="L30" i="4"/>
  <c r="M6" i="4"/>
  <c r="H6" i="4"/>
  <c r="M30" i="4" l="1"/>
  <c r="N6" i="4"/>
  <c r="G6" i="4"/>
  <c r="N30" i="4" l="1"/>
  <c r="F6" i="4"/>
  <c r="E6" i="4" l="1"/>
  <c r="D6" i="4" l="1"/>
  <c r="G13" i="2" l="1"/>
  <c r="G15" i="2"/>
  <c r="E14" i="3"/>
  <c r="E5" i="2"/>
  <c r="G5" i="2" s="1"/>
  <c r="E16" i="2"/>
  <c r="G16" i="2" s="1"/>
  <c r="E16" i="3"/>
  <c r="E15" i="3"/>
  <c r="E27" i="3"/>
  <c r="E4" i="3"/>
  <c r="E5" i="3" s="1"/>
  <c r="E3" i="2"/>
  <c r="G3" i="2" s="1"/>
  <c r="E4" i="2"/>
  <c r="G4" i="2" s="1"/>
  <c r="E17" i="2"/>
  <c r="G17" i="2" s="1"/>
  <c r="E22" i="2"/>
  <c r="G22" i="2" s="1"/>
  <c r="E2" i="2"/>
  <c r="G2" i="2" s="1"/>
  <c r="E13" i="3"/>
  <c r="E29" i="3"/>
  <c r="F15" i="3" l="1"/>
  <c r="F13" i="3"/>
  <c r="F14" i="3"/>
  <c r="F16" i="3"/>
  <c r="F29" i="3"/>
  <c r="F27" i="3"/>
  <c r="E7" i="2"/>
  <c r="G7" i="2" s="1"/>
  <c r="E8" i="3" l="1"/>
  <c r="F8" i="3" l="1"/>
  <c r="D17" i="3"/>
  <c r="F11" i="3"/>
  <c r="I6" i="5" l="1"/>
  <c r="F9" i="3"/>
  <c r="F12" i="3"/>
  <c r="L6" i="5" l="1"/>
  <c r="M6" i="5"/>
  <c r="J6" i="5"/>
  <c r="K6" i="5"/>
  <c r="N6" i="5"/>
  <c r="G6" i="5"/>
  <c r="H6" i="5"/>
  <c r="D6" i="5"/>
  <c r="F6" i="5"/>
  <c r="E6" i="5"/>
  <c r="E17" i="3"/>
  <c r="D28" i="3" s="1"/>
  <c r="D18" i="3" l="1"/>
  <c r="E18" i="3" s="1"/>
  <c r="F18" i="3" s="1"/>
  <c r="E28" i="3"/>
  <c r="F17" i="3"/>
  <c r="F28" i="3" l="1"/>
  <c r="E19" i="3"/>
  <c r="G17" i="3" l="1"/>
  <c r="F19" i="3"/>
  <c r="G8" i="3"/>
  <c r="G13" i="3"/>
  <c r="G11" i="3"/>
  <c r="G16" i="3"/>
  <c r="E21" i="3"/>
  <c r="G14" i="3"/>
  <c r="G12" i="3"/>
  <c r="G9" i="3"/>
  <c r="G10" i="3"/>
  <c r="G15" i="3"/>
  <c r="G19" i="3"/>
  <c r="G18" i="3"/>
  <c r="E6" i="2"/>
  <c r="G6" i="2" s="1"/>
  <c r="C10" i="2"/>
  <c r="E10" i="2" s="1"/>
  <c r="G10" i="2" s="1"/>
  <c r="C14" i="2"/>
  <c r="E14" i="2" s="1"/>
  <c r="G14" i="2" s="1"/>
  <c r="E8" i="2"/>
  <c r="G8" i="2" s="1"/>
  <c r="G23" i="2" l="1"/>
  <c r="E24" i="3" s="1"/>
  <c r="F24" i="3" s="1"/>
  <c r="E23" i="2"/>
  <c r="C27" i="2" s="1"/>
  <c r="C30" i="2" l="1"/>
  <c r="E25" i="3" s="1"/>
  <c r="E38" i="3"/>
  <c r="E39" i="3" s="1"/>
  <c r="F25" i="3" l="1"/>
  <c r="E30" i="3"/>
  <c r="G24" i="3" s="1"/>
  <c r="F30" i="3" l="1"/>
  <c r="G26" i="3"/>
  <c r="G27" i="3"/>
  <c r="G30" i="3"/>
  <c r="G25" i="3"/>
  <c r="G29" i="3"/>
  <c r="G28" i="3"/>
  <c r="E32" i="3"/>
  <c r="H30" i="3" s="1"/>
  <c r="E31" i="4"/>
  <c r="J33" i="4"/>
  <c r="K17" i="4"/>
  <c r="M22" i="4"/>
  <c r="E11" i="4"/>
  <c r="D18" i="4"/>
  <c r="I39" i="4"/>
  <c r="D20" i="4"/>
  <c r="D11" i="4"/>
  <c r="M20" i="4" l="1"/>
  <c r="E44" i="4"/>
  <c r="N11" i="4"/>
  <c r="I9" i="4"/>
  <c r="M37" i="4"/>
  <c r="D47" i="4"/>
  <c r="D35" i="4"/>
  <c r="N32" i="4"/>
  <c r="L45" i="4"/>
  <c r="D31" i="4"/>
  <c r="N36" i="4"/>
  <c r="D44" i="4"/>
  <c r="H41" i="4"/>
  <c r="N35" i="4"/>
  <c r="L7" i="4"/>
  <c r="L41" i="4"/>
  <c r="K19" i="4"/>
  <c r="N38" i="4"/>
  <c r="G16" i="4"/>
  <c r="N48" i="4"/>
  <c r="J32" i="4"/>
  <c r="H38" i="4"/>
  <c r="G35" i="4"/>
  <c r="H19" i="3"/>
  <c r="M32" i="4"/>
  <c r="F16" i="4"/>
  <c r="F46" i="4"/>
  <c r="H43" i="4"/>
  <c r="F42" i="4"/>
  <c r="I16" i="4"/>
  <c r="N9" i="4"/>
  <c r="M44" i="4"/>
  <c r="K45" i="4"/>
  <c r="J45" i="4"/>
  <c r="K48" i="4"/>
  <c r="M15" i="4"/>
  <c r="J31" i="4"/>
  <c r="G7" i="4"/>
  <c r="F44" i="4"/>
  <c r="K18" i="4"/>
  <c r="K23" i="4"/>
  <c r="H32" i="4"/>
  <c r="L34" i="4"/>
  <c r="M10" i="4"/>
  <c r="D37" i="4"/>
  <c r="E20" i="4"/>
  <c r="H13" i="4"/>
  <c r="N14" i="4"/>
  <c r="G10" i="4"/>
  <c r="N22" i="4"/>
  <c r="F10" i="4"/>
  <c r="M41" i="4"/>
  <c r="H18" i="3"/>
  <c r="F35" i="4"/>
  <c r="I15" i="4"/>
  <c r="M23" i="4"/>
  <c r="I11" i="4"/>
  <c r="G34" i="4"/>
  <c r="G40" i="4"/>
  <c r="G21" i="4"/>
  <c r="J37" i="4"/>
  <c r="K34" i="4"/>
  <c r="E42" i="4"/>
  <c r="N17" i="4"/>
  <c r="K39" i="4"/>
  <c r="N21" i="4"/>
  <c r="J19" i="4"/>
  <c r="D36" i="4"/>
  <c r="M46" i="4"/>
  <c r="M36" i="4"/>
  <c r="J41" i="4"/>
  <c r="N47" i="4"/>
  <c r="I45" i="4"/>
  <c r="L8" i="4"/>
  <c r="L36" i="4"/>
  <c r="N37" i="4"/>
  <c r="G33" i="4"/>
  <c r="E48" i="4"/>
  <c r="K41" i="4"/>
  <c r="J10" i="4"/>
  <c r="H16" i="3"/>
  <c r="I7" i="4"/>
  <c r="D19" i="4"/>
  <c r="G9" i="4"/>
  <c r="M18" i="4"/>
  <c r="E45" i="4"/>
  <c r="N18" i="4"/>
  <c r="D14" i="4"/>
  <c r="M14" i="4"/>
  <c r="J13" i="4"/>
  <c r="E23" i="4"/>
  <c r="D33" i="4"/>
  <c r="K22" i="4"/>
  <c r="D45" i="4"/>
  <c r="F41" i="4"/>
  <c r="D43" i="4"/>
  <c r="K7" i="4"/>
  <c r="N20" i="4"/>
  <c r="G32" i="4"/>
  <c r="H33" i="4"/>
  <c r="G31" i="4"/>
  <c r="L47" i="4"/>
  <c r="D48" i="4"/>
  <c r="E19" i="4"/>
  <c r="M13" i="4"/>
  <c r="J9" i="4"/>
  <c r="J22" i="4"/>
  <c r="E16" i="4"/>
  <c r="M16" i="4"/>
  <c r="G39" i="4"/>
  <c r="E36" i="4"/>
  <c r="H9" i="3"/>
  <c r="M11" i="4"/>
  <c r="I12" i="4"/>
  <c r="D17" i="4"/>
  <c r="D13" i="4"/>
  <c r="L21" i="4"/>
  <c r="H24" i="3"/>
  <c r="F34" i="4"/>
  <c r="F7" i="4"/>
  <c r="K24" i="4"/>
  <c r="E8" i="4"/>
  <c r="I48" i="4"/>
  <c r="F38" i="4"/>
  <c r="F14" i="4"/>
  <c r="H37" i="4"/>
  <c r="J21" i="4"/>
  <c r="M21" i="4"/>
  <c r="D42" i="4"/>
  <c r="E40" i="4"/>
  <c r="H22" i="4"/>
  <c r="H29" i="3"/>
  <c r="M42" i="4"/>
  <c r="F47" i="4"/>
  <c r="E35" i="3"/>
  <c r="F35" i="3" s="1"/>
  <c r="M7" i="4"/>
  <c r="E41" i="4"/>
  <c r="F36" i="4"/>
  <c r="K43" i="4"/>
  <c r="K20" i="4"/>
  <c r="L22" i="4"/>
  <c r="F8" i="4"/>
  <c r="H23" i="4"/>
  <c r="F12" i="4"/>
  <c r="L44" i="4"/>
  <c r="H34" i="4"/>
  <c r="M35" i="4"/>
  <c r="K14" i="4"/>
  <c r="J38" i="4"/>
  <c r="E37" i="4"/>
  <c r="E47" i="4"/>
  <c r="D16" i="4"/>
  <c r="L24" i="4"/>
  <c r="H47" i="4"/>
  <c r="G11" i="4"/>
  <c r="I20" i="4"/>
  <c r="M48" i="4"/>
  <c r="G15" i="4"/>
  <c r="N34" i="4"/>
  <c r="G20" i="4"/>
  <c r="G47" i="4"/>
  <c r="H8" i="4"/>
  <c r="H25" i="3"/>
  <c r="M34" i="4"/>
  <c r="L43" i="4"/>
  <c r="H36" i="4"/>
  <c r="K16" i="4"/>
  <c r="I8" i="4"/>
  <c r="M9" i="4"/>
  <c r="K37" i="4"/>
  <c r="K9" i="4"/>
  <c r="K44" i="4"/>
  <c r="G8" i="4"/>
  <c r="F19" i="4"/>
  <c r="E10" i="4"/>
  <c r="H20" i="4"/>
  <c r="L20" i="4"/>
  <c r="N12" i="4"/>
  <c r="F45" i="4"/>
  <c r="K46" i="4"/>
  <c r="E33" i="3"/>
  <c r="E25" i="5" s="1"/>
  <c r="M45" i="4"/>
  <c r="L40" i="4"/>
  <c r="F17" i="4"/>
  <c r="H19" i="4"/>
  <c r="H11" i="4"/>
  <c r="G45" i="4"/>
  <c r="H17" i="4"/>
  <c r="F13" i="4"/>
  <c r="J12" i="4"/>
  <c r="K38" i="4"/>
  <c r="K32" i="4"/>
  <c r="L46" i="4"/>
  <c r="M19" i="4"/>
  <c r="F11" i="4"/>
  <c r="F40" i="4"/>
  <c r="M17" i="4"/>
  <c r="J15" i="4"/>
  <c r="N39" i="4"/>
  <c r="J24" i="4"/>
  <c r="H14" i="4"/>
  <c r="K36" i="4"/>
  <c r="H40" i="4"/>
  <c r="G24" i="4"/>
  <c r="H44" i="4"/>
  <c r="M43" i="4"/>
  <c r="I47" i="4"/>
  <c r="E21" i="4"/>
  <c r="N13" i="4"/>
  <c r="E24" i="4"/>
  <c r="G41" i="4"/>
  <c r="I46" i="4"/>
  <c r="I40" i="4"/>
  <c r="L35" i="4"/>
  <c r="L38" i="4"/>
  <c r="H42" i="4"/>
  <c r="N45" i="4"/>
  <c r="H11" i="3"/>
  <c r="N41" i="4"/>
  <c r="H21" i="4"/>
  <c r="J18" i="4"/>
  <c r="J23" i="4"/>
  <c r="H10" i="4"/>
  <c r="J11" i="4"/>
  <c r="E46" i="4"/>
  <c r="D39" i="4"/>
  <c r="H26" i="3"/>
  <c r="H9" i="4"/>
  <c r="I44" i="4"/>
  <c r="K15" i="4"/>
  <c r="J48" i="4"/>
  <c r="G12" i="4"/>
  <c r="E13" i="4"/>
  <c r="G36" i="4"/>
  <c r="H15" i="4"/>
  <c r="G38" i="4"/>
  <c r="I38" i="4"/>
  <c r="G14" i="4"/>
  <c r="I19" i="4"/>
  <c r="G46" i="4"/>
  <c r="L37" i="4"/>
  <c r="N43" i="4"/>
  <c r="J43" i="4"/>
  <c r="J36" i="4"/>
  <c r="L15" i="4"/>
  <c r="L13" i="4"/>
  <c r="L33" i="4"/>
  <c r="J7" i="4"/>
  <c r="H14" i="3"/>
  <c r="J46" i="4"/>
  <c r="E17" i="4"/>
  <c r="E33" i="4"/>
  <c r="D8" i="4"/>
  <c r="F15" i="4"/>
  <c r="G22" i="4"/>
  <c r="I10" i="4"/>
  <c r="F43" i="4"/>
  <c r="L32" i="4"/>
  <c r="I36" i="4"/>
  <c r="D38" i="4"/>
  <c r="H35" i="4"/>
  <c r="J40" i="4"/>
  <c r="I34" i="4"/>
  <c r="H7" i="4"/>
  <c r="F31" i="4"/>
  <c r="H15" i="3"/>
  <c r="L31" i="4"/>
  <c r="G42" i="4"/>
  <c r="J14" i="4"/>
  <c r="F24" i="4"/>
  <c r="N44" i="4"/>
  <c r="D21" i="4"/>
  <c r="N24" i="4"/>
  <c r="K47" i="4"/>
  <c r="I41" i="4"/>
  <c r="H39" i="4"/>
  <c r="F23" i="4"/>
  <c r="I33" i="4"/>
  <c r="F48" i="4"/>
  <c r="F37" i="4"/>
  <c r="H13" i="3"/>
  <c r="F39" i="4"/>
  <c r="F20" i="4"/>
  <c r="E9" i="4"/>
  <c r="I24" i="4"/>
  <c r="I42" i="4"/>
  <c r="H17" i="3"/>
  <c r="L9" i="4"/>
  <c r="D10" i="4"/>
  <c r="K8" i="4"/>
  <c r="J35" i="4"/>
  <c r="K10" i="4"/>
  <c r="L14" i="4"/>
  <c r="M31" i="4"/>
  <c r="H48" i="4"/>
  <c r="G43" i="4"/>
  <c r="M33" i="4"/>
  <c r="L12" i="4"/>
  <c r="H16" i="4"/>
  <c r="I32" i="4"/>
  <c r="H12" i="3"/>
  <c r="N19" i="4"/>
  <c r="J42" i="4"/>
  <c r="I17" i="4"/>
  <c r="H45" i="4"/>
  <c r="D9" i="4"/>
  <c r="M47" i="4"/>
  <c r="K12" i="4"/>
  <c r="K21" i="4"/>
  <c r="K33" i="4"/>
  <c r="D46" i="4"/>
  <c r="H10" i="3"/>
  <c r="N40" i="4"/>
  <c r="K11" i="4"/>
  <c r="M40" i="4"/>
  <c r="L39" i="4"/>
  <c r="K40" i="4"/>
  <c r="E14" i="4"/>
  <c r="H12" i="4"/>
  <c r="G23" i="4"/>
  <c r="J39" i="4"/>
  <c r="G19" i="4"/>
  <c r="F9" i="4"/>
  <c r="F22" i="4"/>
  <c r="E18" i="4"/>
  <c r="N7" i="4"/>
  <c r="G18" i="4"/>
  <c r="L19" i="4"/>
  <c r="K35" i="4"/>
  <c r="L16" i="4"/>
  <c r="L42" i="4"/>
  <c r="F33" i="4"/>
  <c r="N31" i="4"/>
  <c r="I43" i="4"/>
  <c r="N46" i="4"/>
  <c r="J20" i="4"/>
  <c r="E43" i="4"/>
  <c r="N10" i="4"/>
  <c r="D23" i="4"/>
  <c r="L23" i="4"/>
  <c r="H18" i="4"/>
  <c r="M24" i="4"/>
  <c r="E12" i="4"/>
  <c r="H28" i="3"/>
  <c r="K13" i="4"/>
  <c r="E35" i="4"/>
  <c r="I18" i="4"/>
  <c r="H24" i="4"/>
  <c r="E32" i="4"/>
  <c r="I13" i="4"/>
  <c r="L10" i="4"/>
  <c r="I37" i="4"/>
  <c r="G17" i="4"/>
  <c r="D34" i="4"/>
  <c r="E39" i="4"/>
  <c r="I21" i="4"/>
  <c r="D24" i="4"/>
  <c r="J34" i="4"/>
  <c r="N23" i="4"/>
  <c r="D41" i="4"/>
  <c r="D32" i="4"/>
  <c r="J16" i="4"/>
  <c r="N15" i="4"/>
  <c r="E7" i="4"/>
  <c r="M38" i="4"/>
  <c r="K31" i="4"/>
  <c r="G13" i="4"/>
  <c r="D40" i="4"/>
  <c r="I35" i="4"/>
  <c r="H27" i="3"/>
  <c r="E36" i="3"/>
  <c r="J47" i="4"/>
  <c r="L48" i="4"/>
  <c r="E22" i="4"/>
  <c r="D7" i="4"/>
  <c r="M8" i="4"/>
  <c r="E15" i="4"/>
  <c r="M12" i="4"/>
  <c r="N42" i="4"/>
  <c r="E38" i="4"/>
  <c r="I22" i="4"/>
  <c r="G37" i="4"/>
  <c r="I14" i="4"/>
  <c r="G48" i="4"/>
  <c r="M39" i="4"/>
  <c r="L17" i="4"/>
  <c r="L11" i="4"/>
  <c r="H46" i="4"/>
  <c r="J44" i="4"/>
  <c r="F21" i="4"/>
  <c r="J8" i="4"/>
  <c r="H31" i="4"/>
  <c r="L18" i="4"/>
  <c r="K42" i="4"/>
  <c r="N33" i="4"/>
  <c r="F32" i="4"/>
  <c r="F18" i="4"/>
  <c r="D22" i="4"/>
  <c r="H8" i="3"/>
  <c r="I31" i="4"/>
  <c r="D12" i="4"/>
  <c r="D15" i="4"/>
  <c r="E34" i="4"/>
  <c r="I23" i="4"/>
  <c r="N16" i="4"/>
  <c r="J17" i="4"/>
  <c r="N8" i="4"/>
  <c r="G44" i="4"/>
  <c r="H17" i="5" l="1"/>
  <c r="N22" i="5"/>
  <c r="H10" i="5"/>
  <c r="D12" i="5"/>
  <c r="L14" i="5"/>
  <c r="D23" i="5"/>
  <c r="N12" i="5"/>
  <c r="K23" i="5"/>
  <c r="N9" i="5"/>
  <c r="N18" i="5"/>
  <c r="M15" i="5"/>
  <c r="M8" i="5"/>
  <c r="L18" i="5"/>
  <c r="D22" i="5"/>
  <c r="K19" i="5"/>
  <c r="E23" i="5"/>
  <c r="K8" i="5"/>
  <c r="L25" i="5"/>
  <c r="E11" i="5"/>
  <c r="I13" i="5"/>
  <c r="E22" i="5"/>
  <c r="E8" i="5"/>
  <c r="J10" i="5"/>
  <c r="H9" i="5"/>
  <c r="K17" i="5"/>
  <c r="G12" i="5"/>
  <c r="H18" i="5"/>
  <c r="G11" i="5"/>
  <c r="I8" i="5"/>
  <c r="J18" i="5"/>
  <c r="N21" i="5"/>
  <c r="N14" i="5"/>
  <c r="N13" i="5"/>
  <c r="I16" i="5"/>
  <c r="J17" i="5"/>
  <c r="N25" i="5"/>
  <c r="D14" i="5"/>
  <c r="G13" i="5"/>
  <c r="K24" i="5"/>
  <c r="N16" i="5"/>
  <c r="H24" i="5"/>
  <c r="F19" i="5"/>
  <c r="D17" i="5"/>
  <c r="D24" i="5"/>
  <c r="H23" i="5"/>
  <c r="J13" i="5"/>
  <c r="I12" i="5"/>
  <c r="I22" i="5"/>
  <c r="K12" i="5"/>
  <c r="N11" i="5"/>
  <c r="L15" i="5"/>
  <c r="H16" i="5"/>
  <c r="D9" i="5"/>
  <c r="L24" i="5"/>
  <c r="E24" i="5"/>
  <c r="E13" i="5"/>
  <c r="H15" i="5"/>
  <c r="J20" i="5"/>
  <c r="F9" i="5"/>
  <c r="H11" i="5"/>
  <c r="N24" i="5"/>
  <c r="M9" i="5"/>
  <c r="E16" i="5"/>
  <c r="D20" i="5"/>
  <c r="E10" i="5"/>
  <c r="D25" i="5"/>
  <c r="F24" i="5"/>
  <c r="F15" i="5"/>
  <c r="H22" i="5"/>
  <c r="I10" i="5"/>
  <c r="I25" i="5"/>
  <c r="J12" i="5"/>
  <c r="F14" i="5"/>
  <c r="G9" i="5"/>
  <c r="J14" i="5"/>
  <c r="G16" i="5"/>
  <c r="G18" i="5"/>
  <c r="J23" i="5"/>
  <c r="G21" i="5"/>
  <c r="E12" i="5"/>
  <c r="K25" i="5"/>
  <c r="M22" i="5"/>
  <c r="G19" i="5"/>
  <c r="E19" i="5"/>
  <c r="I15" i="5"/>
  <c r="G23" i="5"/>
  <c r="I14" i="5"/>
  <c r="L9" i="5"/>
  <c r="M18" i="5"/>
  <c r="N19" i="5"/>
  <c r="J19" i="5"/>
  <c r="G17" i="5"/>
  <c r="L23" i="5"/>
  <c r="I11" i="5"/>
  <c r="L10" i="5"/>
  <c r="G22" i="5"/>
  <c r="N15" i="5"/>
  <c r="K18" i="5"/>
  <c r="D15" i="5"/>
  <c r="M25" i="5"/>
  <c r="E14" i="5"/>
  <c r="E9" i="5"/>
  <c r="H19" i="5"/>
  <c r="D21" i="5"/>
  <c r="L12" i="5"/>
  <c r="M10" i="5"/>
  <c r="H20" i="5"/>
  <c r="M13" i="5"/>
  <c r="N17" i="5"/>
  <c r="I9" i="5"/>
  <c r="E17" i="5"/>
  <c r="M14" i="5"/>
  <c r="L22" i="5"/>
  <c r="J16" i="5"/>
  <c r="F11" i="5"/>
  <c r="F12" i="5"/>
  <c r="K11" i="5"/>
  <c r="K20" i="5"/>
  <c r="I17" i="5"/>
  <c r="M12" i="5"/>
  <c r="I21" i="5"/>
  <c r="K10" i="5"/>
  <c r="F22" i="5"/>
  <c r="F13" i="5"/>
  <c r="G15" i="5"/>
  <c r="G20" i="5"/>
  <c r="N10" i="5"/>
  <c r="F17" i="5"/>
  <c r="L11" i="5"/>
  <c r="E21" i="5"/>
  <c r="H13" i="5"/>
  <c r="L16" i="5"/>
  <c r="E20" i="5"/>
  <c r="L17" i="5"/>
  <c r="J9" i="5"/>
  <c r="J22" i="5"/>
  <c r="K16" i="5"/>
  <c r="M23" i="5"/>
  <c r="H21" i="5"/>
  <c r="D11" i="5"/>
  <c r="I18" i="5"/>
  <c r="F16" i="5"/>
  <c r="L13" i="5"/>
  <c r="F21" i="5"/>
  <c r="K15" i="5"/>
  <c r="H14" i="5"/>
  <c r="D19" i="5"/>
  <c r="K22" i="5"/>
  <c r="L20" i="5"/>
  <c r="F8" i="5"/>
  <c r="L8" i="5"/>
  <c r="E15" i="5"/>
  <c r="J25" i="5"/>
  <c r="G24" i="5"/>
  <c r="F20" i="5"/>
  <c r="G14" i="5"/>
  <c r="I20" i="5"/>
  <c r="J15" i="5"/>
  <c r="H12" i="5"/>
  <c r="J8" i="5"/>
  <c r="M16" i="5"/>
  <c r="F23" i="5"/>
  <c r="F25" i="5"/>
  <c r="M17" i="5"/>
  <c r="E18" i="5"/>
  <c r="D18" i="5"/>
  <c r="G8" i="5"/>
  <c r="K9" i="5"/>
  <c r="I24" i="5"/>
  <c r="M19" i="5"/>
  <c r="H8" i="5"/>
  <c r="M24" i="5"/>
  <c r="M11" i="5"/>
  <c r="L19" i="5"/>
  <c r="I23" i="5"/>
  <c r="N23" i="5"/>
  <c r="M21" i="5"/>
  <c r="N20" i="5"/>
  <c r="N8" i="5"/>
  <c r="L21" i="5"/>
  <c r="J11" i="5"/>
  <c r="G10" i="5"/>
  <c r="J21" i="5"/>
  <c r="M20" i="5"/>
  <c r="H25" i="5"/>
  <c r="D10" i="5"/>
  <c r="D8" i="5"/>
  <c r="I19" i="5"/>
  <c r="F18" i="5"/>
  <c r="K14" i="5"/>
  <c r="K21" i="5"/>
  <c r="D13" i="5"/>
  <c r="D16" i="5"/>
  <c r="F10" i="5"/>
  <c r="G25" i="5"/>
  <c r="J24" i="5"/>
  <c r="K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tc={86DCB189-B6A5-4777-ACA7-ECD88F7DCD9C}</author>
    <author>tc={79A63310-C45C-4F83-9233-79E345FAE58C}</author>
  </authors>
  <commentList>
    <comment ref="A10" authorId="0" shapeId="0" xr:uid="{86DCB189-B6A5-4777-ACA7-ECD88F7DCD9C}">
      <text>
        <t>[Threaded comment]
Your version of Excel allows you to read this threaded comment; however, any edits to it will get removed if the file is opened in a newer version of Excel. Learn more: https://go.microsoft.com/fwlink/?linkid=870924
Comment:
    This assumes 11 pucks per pound</t>
      </text>
    </comment>
    <comment ref="A11" authorId="1" shapeId="0" xr:uid="{79A63310-C45C-4F83-9233-79E345FAE58C}">
      <text>
        <t>[Threaded comment]
Your version of Excel allows you to read this threaded comment; however, any edits to it will get removed if the file is opened in a newer version of Excel. Learn more: https://go.microsoft.com/fwlink/?linkid=870924
Comment:
    This assumes 8 lines per acre, and 12 cages per line</t>
      </text>
    </comment>
  </commentList>
</comments>
</file>

<file path=xl/sharedStrings.xml><?xml version="1.0" encoding="utf-8"?>
<sst xmlns="http://schemas.openxmlformats.org/spreadsheetml/2006/main" count="158" uniqueCount="109">
  <si>
    <t>Value</t>
  </si>
  <si>
    <t>acres</t>
  </si>
  <si>
    <t>Quantity</t>
  </si>
  <si>
    <t>Unit</t>
  </si>
  <si>
    <t>Harvest Baskets</t>
  </si>
  <si>
    <t>Truck</t>
  </si>
  <si>
    <t>Installation labor</t>
  </si>
  <si>
    <t>Tumbler</t>
  </si>
  <si>
    <t>Gas generator</t>
  </si>
  <si>
    <t>Depreciation</t>
  </si>
  <si>
    <t>Revenue</t>
  </si>
  <si>
    <t>Gross Receipts</t>
  </si>
  <si>
    <t>Variable Costs</t>
  </si>
  <si>
    <t>$/unit</t>
  </si>
  <si>
    <t>Cost</t>
  </si>
  <si>
    <t>Percent of Variable Costs</t>
  </si>
  <si>
    <t>Percent of Total Costs</t>
  </si>
  <si>
    <t>Survival</t>
  </si>
  <si>
    <t>%</t>
  </si>
  <si>
    <t>gallons</t>
  </si>
  <si>
    <t>Repairs and Maintenance</t>
  </si>
  <si>
    <t>$</t>
  </si>
  <si>
    <t>Miscellaneous expenses</t>
  </si>
  <si>
    <t>Interest on Operating Capital</t>
  </si>
  <si>
    <t>TOTAL VARIABLE COSTS</t>
  </si>
  <si>
    <t>INCOME ABOVE VARIABLE COSTS</t>
  </si>
  <si>
    <t>Fixed Costs</t>
  </si>
  <si>
    <t>Percent of Fixed Costs</t>
  </si>
  <si>
    <t>Interest on Investment</t>
  </si>
  <si>
    <t>year</t>
  </si>
  <si>
    <t>TOTAL FIXED COSTS</t>
  </si>
  <si>
    <t>TOTAL COSTS</t>
  </si>
  <si>
    <t>NET RETURNS</t>
  </si>
  <si>
    <t>BREAKEVEN PRICE ABOVE TOTAL COSTS</t>
  </si>
  <si>
    <t>Fuel</t>
  </si>
  <si>
    <t>Boat, motor, trailer</t>
  </si>
  <si>
    <t>Target annual oyster production</t>
  </si>
  <si>
    <t>Oyster seed planted</t>
  </si>
  <si>
    <t>Farm size</t>
  </si>
  <si>
    <t>Seed</t>
  </si>
  <si>
    <t>Marketing</t>
  </si>
  <si>
    <t>Cages 1/2" mesh</t>
  </si>
  <si>
    <t>Cages 1" mesh</t>
  </si>
  <si>
    <t>Insurance - liability and auto</t>
  </si>
  <si>
    <t>Overhead</t>
  </si>
  <si>
    <t>Loan Information</t>
  </si>
  <si>
    <t>Percent of Farm Invest. that will be loaned</t>
  </si>
  <si>
    <t>Loan for Farm Investment</t>
  </si>
  <si>
    <t>Loan Term</t>
  </si>
  <si>
    <t>Interest Rate</t>
  </si>
  <si>
    <t>$/year</t>
  </si>
  <si>
    <t>Total Capital Costs</t>
  </si>
  <si>
    <t>Useful Life</t>
  </si>
  <si>
    <t>Bags 1/2" mesh</t>
  </si>
  <si>
    <t>Bags 1" mesh</t>
  </si>
  <si>
    <t>Investments</t>
  </si>
  <si>
    <t>Cost/unit</t>
  </si>
  <si>
    <t>Number</t>
  </si>
  <si>
    <t>Annual Average Depreciation</t>
  </si>
  <si>
    <t>GROSS PROFIT</t>
  </si>
  <si>
    <t>GROSS MARGIN</t>
  </si>
  <si>
    <t>$/oyster</t>
  </si>
  <si>
    <t xml:space="preserve">Budget for a 2-acre farm using a 6-bag floating cage system </t>
  </si>
  <si>
    <t>Rubber pucks</t>
  </si>
  <si>
    <t>Bag closures</t>
  </si>
  <si>
    <t>Refrigeration</t>
  </si>
  <si>
    <t>Price</t>
  </si>
  <si>
    <t>*Grow-out length is assumed to be 1 year.</t>
  </si>
  <si>
    <t>Survival (%)</t>
  </si>
  <si>
    <t>Price per oyster ($)</t>
  </si>
  <si>
    <t>Expected Net Profit Per Oyster</t>
  </si>
  <si>
    <t>1000-6mm spat</t>
  </si>
  <si>
    <t>hours</t>
  </si>
  <si>
    <t>TOTAL REVENUE</t>
  </si>
  <si>
    <t>Lease</t>
  </si>
  <si>
    <t>Aquaculture License</t>
  </si>
  <si>
    <t>Harvest tags</t>
  </si>
  <si>
    <t>Anchors</t>
  </si>
  <si>
    <t>Buoys</t>
  </si>
  <si>
    <t>Pounds</t>
  </si>
  <si>
    <t>2,500 ct</t>
  </si>
  <si>
    <t>Anchor lines (500ft)</t>
  </si>
  <si>
    <t>Ft</t>
  </si>
  <si>
    <t>Tether and bridle lines (1200ft)</t>
  </si>
  <si>
    <t>Winch/crane</t>
  </si>
  <si>
    <t>Sorting tables</t>
  </si>
  <si>
    <t>Expected Net Profit Per Year</t>
  </si>
  <si>
    <t>TOTAL COSTS  MINUS LABOR</t>
  </si>
  <si>
    <t xml:space="preserve">     Management</t>
  </si>
  <si>
    <t xml:space="preserve">     Hired</t>
  </si>
  <si>
    <t xml:space="preserve">     Payroll Tax</t>
  </si>
  <si>
    <t>Total Labor Costs</t>
  </si>
  <si>
    <t>Change in Labor Costs</t>
  </si>
  <si>
    <t>Oyster sales</t>
  </si>
  <si>
    <t>Misc protective gear</t>
  </si>
  <si>
    <t xml:space="preserve">Cages  </t>
  </si>
  <si>
    <t>oysters/cage</t>
  </si>
  <si>
    <t>*Planted oyster seed is based on production target and survival expectation.</t>
  </si>
  <si>
    <t>Stocking density at final growout</t>
  </si>
  <si>
    <t>*Targeted production is estimated by number of cages and final stocking density</t>
  </si>
  <si>
    <t>Reefer Truck</t>
  </si>
  <si>
    <t xml:space="preserve">This budget aims to characterize a typical oyster farm using floating cages. This budget stops at the farm-gate, and does not include processing or shipping costs. As each oyster farm is different, the numbers here should be modified to account for those differences, paying particularly close attention to labor as this is a major cost and can significantly impact profitability estimates. Individual farm data can be entered in the yellow cells. </t>
  </si>
  <si>
    <t>*This budget shows annual costs and returns once the farm is fully operational.</t>
  </si>
  <si>
    <r>
      <rPr>
        <b/>
        <sz val="12"/>
        <color theme="1"/>
        <rFont val="Aptos Narrow"/>
        <family val="2"/>
        <scheme val="minor"/>
      </rPr>
      <t xml:space="preserve">Sensitivity Analysis: </t>
    </r>
    <r>
      <rPr>
        <sz val="12"/>
        <color theme="1"/>
        <rFont val="Aptos Narrow"/>
        <family val="2"/>
        <scheme val="minor"/>
      </rPr>
      <t>The table below shows how variability in price and labor costs can affect expected net profit per oyster. Positive net returns are shown in black, and negative net returns are shown in red. The orange highlighted cell is the expected net profit per oyster from the baseline model.</t>
    </r>
  </si>
  <si>
    <r>
      <rPr>
        <b/>
        <sz val="12"/>
        <color theme="1"/>
        <rFont val="Aptos Narrow"/>
        <family val="2"/>
        <scheme val="minor"/>
      </rPr>
      <t xml:space="preserve">Sensitivity Analysis: </t>
    </r>
    <r>
      <rPr>
        <sz val="12"/>
        <color theme="1"/>
        <rFont val="Aptos Narrow"/>
        <family val="2"/>
        <scheme val="minor"/>
      </rPr>
      <t>The tables below show how variability in price and survival can affect expected net profit per oyster and total net profit per year. Positive net profit are shown in black, and negative net profit are shown in red. The orange highlighted cell is the expected net profit from the baseline model.</t>
    </r>
  </si>
  <si>
    <t>Authors: Taryn Garlock, Russell Grice, Andrea Tarnecki</t>
  </si>
  <si>
    <t>Number of oysters</t>
  </si>
  <si>
    <t>number</t>
  </si>
  <si>
    <t>The Alabama Cooperative Extension System (Alabama A&amp;M University and Auburn University) is an equal opportunity educator, employer, and provider. New May 2026, ANR-2852 © 2026 by the Alabama Cooperative Extension System. All rights reserved. www.aces.edu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</si>
</sst>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00"/>
    <numFmt numFmtId="167" formatCode="&quot;$&quot;#,##0"/>
    <numFmt numFmtId="168" formatCode="0.00_)"/>
  </numFmts>
  <fonts count="15" x14ac:knownFonts="1">
    <font>
      <sz val="11"/>
      <color theme="1"/>
      <name val="Aptos Narrow"/>
      <family val="2"/>
      <scheme val="minor"/>
    </font>
    <font>
      <sz val="12"/>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sz val="8"/>
      <name val="Aptos Narrow"/>
      <family val="2"/>
      <scheme val="minor"/>
    </font>
    <font>
      <i/>
      <sz val="11"/>
      <color theme="1"/>
      <name val="Aptos Narrow"/>
      <family val="2"/>
      <scheme val="minor"/>
    </font>
    <font>
      <sz val="11"/>
      <name val="Aptos Narrow"/>
      <family val="2"/>
      <scheme val="minor"/>
    </font>
    <font>
      <i/>
      <sz val="12"/>
      <color theme="1"/>
      <name val="Aptos Narrow"/>
      <family val="2"/>
      <scheme val="minor"/>
    </font>
    <font>
      <sz val="12"/>
      <color theme="1"/>
      <name val="Aptos Narrow"/>
      <family val="2"/>
      <scheme val="minor"/>
    </font>
    <font>
      <sz val="10"/>
      <color indexed="8"/>
      <name val="Arial"/>
      <family val="2"/>
    </font>
    <font>
      <sz val="7.5"/>
      <color indexed="8"/>
      <name val="Arial"/>
      <family val="2"/>
    </font>
    <font>
      <sz val="7"/>
      <name val="Arial"/>
      <family val="2"/>
    </font>
    <font>
      <sz val="8"/>
      <name val="Arial"/>
      <family val="2"/>
    </font>
    <font>
      <b/>
      <sz val="12"/>
      <color theme="1"/>
      <name val="Aptos Narrow"/>
      <family val="2"/>
      <scheme val="minor"/>
    </font>
  </fonts>
  <fills count="7">
    <fill>
      <patternFill patternType="none"/>
    </fill>
    <fill>
      <patternFill patternType="gray125"/>
    </fill>
    <fill>
      <patternFill patternType="solid">
        <fgColor theme="3" tint="0.89999084444715716"/>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5" tint="0.59999389629810485"/>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134">
    <xf numFmtId="0" fontId="0" fillId="0" borderId="0" xfId="0"/>
    <xf numFmtId="164" fontId="0" fillId="0" borderId="0" xfId="0" applyNumberFormat="1"/>
    <xf numFmtId="0" fontId="0" fillId="0" borderId="2" xfId="0" applyBorder="1"/>
    <xf numFmtId="0" fontId="0" fillId="0" borderId="1" xfId="0" applyBorder="1"/>
    <xf numFmtId="0" fontId="6" fillId="0" borderId="0" xfId="0" applyFont="1"/>
    <xf numFmtId="0" fontId="0" fillId="3" borderId="0" xfId="0" applyFill="1"/>
    <xf numFmtId="0" fontId="0" fillId="0" borderId="6" xfId="0" applyBorder="1"/>
    <xf numFmtId="165" fontId="0" fillId="0" borderId="4" xfId="1" applyNumberFormat="1" applyFont="1" applyBorder="1"/>
    <xf numFmtId="44" fontId="0" fillId="0" borderId="7" xfId="2" applyFont="1" applyBorder="1"/>
    <xf numFmtId="0" fontId="7" fillId="0" borderId="0" xfId="0" applyFont="1"/>
    <xf numFmtId="164" fontId="0" fillId="4" borderId="0" xfId="0" applyNumberFormat="1" applyFill="1"/>
    <xf numFmtId="44" fontId="0" fillId="4" borderId="0" xfId="0" applyNumberFormat="1" applyFill="1"/>
    <xf numFmtId="44" fontId="0" fillId="0" borderId="0" xfId="0" applyNumberFormat="1"/>
    <xf numFmtId="0" fontId="0" fillId="0" borderId="0" xfId="0" applyAlignment="1">
      <alignment wrapText="1"/>
    </xf>
    <xf numFmtId="9" fontId="0" fillId="0" borderId="4" xfId="1" applyNumberFormat="1" applyFont="1" applyBorder="1"/>
    <xf numFmtId="167" fontId="9" fillId="3" borderId="1" xfId="1" applyNumberFormat="1" applyFont="1" applyFill="1" applyBorder="1" applyAlignment="1">
      <alignment horizontal="center"/>
    </xf>
    <xf numFmtId="166" fontId="0" fillId="0" borderId="0" xfId="0" applyNumberFormat="1"/>
    <xf numFmtId="0" fontId="0" fillId="0" borderId="0" xfId="0" applyProtection="1">
      <protection locked="0"/>
    </xf>
    <xf numFmtId="0" fontId="0" fillId="0" borderId="0" xfId="0" applyAlignment="1" applyProtection="1">
      <alignment wrapText="1"/>
      <protection locked="0"/>
    </xf>
    <xf numFmtId="165" fontId="0" fillId="0" borderId="0" xfId="1" applyNumberFormat="1" applyFont="1" applyProtection="1">
      <protection locked="0"/>
    </xf>
    <xf numFmtId="43" fontId="0" fillId="0" borderId="0" xfId="0" applyNumberFormat="1" applyProtection="1">
      <protection locked="0"/>
    </xf>
    <xf numFmtId="0" fontId="0" fillId="5" borderId="12" xfId="0" applyFill="1" applyBorder="1" applyProtection="1">
      <protection locked="0"/>
    </xf>
    <xf numFmtId="0" fontId="0" fillId="5" borderId="11" xfId="0" applyFill="1" applyBorder="1" applyProtection="1">
      <protection locked="0"/>
    </xf>
    <xf numFmtId="0" fontId="0" fillId="5" borderId="14" xfId="0" applyFill="1" applyBorder="1" applyProtection="1">
      <protection locked="0"/>
    </xf>
    <xf numFmtId="165" fontId="0" fillId="5" borderId="11" xfId="1" applyNumberFormat="1" applyFont="1" applyFill="1" applyBorder="1" applyAlignment="1" applyProtection="1">
      <alignment horizontal="right" vertical="center"/>
      <protection locked="0"/>
    </xf>
    <xf numFmtId="8" fontId="0" fillId="5" borderId="13" xfId="0" applyNumberFormat="1" applyFill="1" applyBorder="1" applyAlignment="1" applyProtection="1">
      <alignment horizontal="right" vertical="center"/>
      <protection locked="0"/>
    </xf>
    <xf numFmtId="8" fontId="0" fillId="0" borderId="0" xfId="0" applyNumberFormat="1" applyAlignment="1" applyProtection="1">
      <alignment horizontal="right" vertical="center"/>
      <protection locked="0"/>
    </xf>
    <xf numFmtId="165" fontId="0" fillId="0" borderId="0" xfId="1" applyNumberFormat="1" applyFont="1" applyProtection="1"/>
    <xf numFmtId="0" fontId="4" fillId="2" borderId="1" xfId="0" applyFont="1" applyFill="1" applyBorder="1" applyAlignment="1" applyProtection="1">
      <alignment horizontal="left"/>
      <protection locked="0"/>
    </xf>
    <xf numFmtId="0" fontId="4" fillId="2" borderId="1" xfId="0" applyFont="1" applyFill="1" applyBorder="1" applyProtection="1">
      <protection locked="0"/>
    </xf>
    <xf numFmtId="0" fontId="0" fillId="0" borderId="4" xfId="0" applyBorder="1" applyProtection="1">
      <protection locked="0"/>
    </xf>
    <xf numFmtId="164" fontId="0" fillId="0" borderId="0" xfId="0" applyNumberFormat="1" applyProtection="1">
      <protection locked="0"/>
    </xf>
    <xf numFmtId="0" fontId="3" fillId="0" borderId="0" xfId="0" applyFont="1" applyProtection="1">
      <protection locked="0"/>
    </xf>
    <xf numFmtId="164" fontId="3" fillId="0" borderId="0" xfId="1" applyNumberFormat="1" applyFont="1" applyProtection="1">
      <protection locked="0"/>
    </xf>
    <xf numFmtId="0" fontId="4" fillId="2" borderId="0" xfId="0" applyFont="1" applyFill="1" applyAlignment="1" applyProtection="1">
      <alignment horizontal="left"/>
      <protection locked="0"/>
    </xf>
    <xf numFmtId="0" fontId="4" fillId="2" borderId="0" xfId="0" applyFont="1" applyFill="1" applyProtection="1">
      <protection locked="0"/>
    </xf>
    <xf numFmtId="0" fontId="4" fillId="2" borderId="0" xfId="0" applyFont="1" applyFill="1" applyAlignment="1" applyProtection="1">
      <alignment wrapText="1"/>
      <protection locked="0"/>
    </xf>
    <xf numFmtId="0" fontId="0" fillId="0" borderId="2" xfId="0" applyBorder="1" applyProtection="1">
      <protection locked="0"/>
    </xf>
    <xf numFmtId="44" fontId="0" fillId="0" borderId="2" xfId="2" applyFont="1" applyFill="1" applyBorder="1" applyProtection="1">
      <protection locked="0"/>
    </xf>
    <xf numFmtId="164" fontId="0" fillId="0" borderId="0" xfId="2" applyNumberFormat="1" applyFont="1" applyFill="1" applyBorder="1" applyProtection="1">
      <protection locked="0"/>
    </xf>
    <xf numFmtId="9" fontId="0" fillId="0" borderId="0" xfId="2" applyNumberFormat="1" applyFont="1" applyFill="1" applyBorder="1" applyProtection="1">
      <protection locked="0"/>
    </xf>
    <xf numFmtId="0" fontId="7" fillId="0" borderId="0" xfId="0" applyFont="1" applyProtection="1">
      <protection locked="0"/>
    </xf>
    <xf numFmtId="0" fontId="0" fillId="0" borderId="0" xfId="0" quotePrefix="1" applyProtection="1">
      <protection locked="0"/>
    </xf>
    <xf numFmtId="0" fontId="0" fillId="0" borderId="1" xfId="0" applyBorder="1" applyProtection="1">
      <protection locked="0"/>
    </xf>
    <xf numFmtId="164" fontId="3" fillId="0" borderId="0" xfId="0" applyNumberFormat="1" applyFont="1" applyProtection="1">
      <protection locked="0"/>
    </xf>
    <xf numFmtId="0" fontId="4" fillId="2" borderId="1" xfId="0" applyFont="1" applyFill="1" applyBorder="1" applyAlignment="1" applyProtection="1">
      <alignment wrapText="1"/>
      <protection locked="0"/>
    </xf>
    <xf numFmtId="44" fontId="3" fillId="0" borderId="0" xfId="2" applyFont="1" applyProtection="1">
      <protection locked="0"/>
    </xf>
    <xf numFmtId="164" fontId="3" fillId="0" borderId="0" xfId="3" applyNumberFormat="1" applyFont="1" applyProtection="1">
      <protection locked="0"/>
    </xf>
    <xf numFmtId="9" fontId="3" fillId="0" borderId="0" xfId="3" applyFont="1" applyProtection="1">
      <protection locked="0"/>
    </xf>
    <xf numFmtId="44" fontId="0" fillId="0" borderId="4" xfId="2" applyFont="1" applyBorder="1" applyProtection="1"/>
    <xf numFmtId="165" fontId="0" fillId="0" borderId="4" xfId="1" applyNumberFormat="1" applyFont="1" applyFill="1" applyBorder="1" applyProtection="1"/>
    <xf numFmtId="164" fontId="0" fillId="0" borderId="4" xfId="0" applyNumberFormat="1" applyBorder="1"/>
    <xf numFmtId="165" fontId="3" fillId="0" borderId="0" xfId="1" applyNumberFormat="1" applyFont="1" applyProtection="1"/>
    <xf numFmtId="164" fontId="3" fillId="0" borderId="0" xfId="1" applyNumberFormat="1" applyFont="1" applyProtection="1"/>
    <xf numFmtId="165" fontId="0" fillId="0" borderId="2" xfId="1" applyNumberFormat="1" applyFont="1" applyFill="1" applyBorder="1" applyProtection="1"/>
    <xf numFmtId="164" fontId="0" fillId="0" borderId="0" xfId="2" applyNumberFormat="1" applyFont="1" applyFill="1" applyBorder="1" applyAlignment="1" applyProtection="1">
      <alignment horizontal="left"/>
    </xf>
    <xf numFmtId="165" fontId="0" fillId="0" borderId="0" xfId="1" applyNumberFormat="1" applyFont="1" applyFill="1" applyBorder="1" applyProtection="1"/>
    <xf numFmtId="164" fontId="0" fillId="0" borderId="2" xfId="2" applyNumberFormat="1" applyFont="1" applyFill="1" applyBorder="1" applyProtection="1"/>
    <xf numFmtId="44" fontId="0" fillId="0" borderId="2" xfId="2" applyFont="1" applyFill="1" applyBorder="1" applyProtection="1"/>
    <xf numFmtId="9" fontId="0" fillId="0" borderId="2" xfId="3" applyFont="1" applyFill="1" applyBorder="1" applyProtection="1"/>
    <xf numFmtId="44" fontId="0" fillId="0" borderId="0" xfId="2" applyFont="1" applyFill="1" applyBorder="1" applyAlignment="1" applyProtection="1">
      <alignment horizontal="left"/>
    </xf>
    <xf numFmtId="9" fontId="0" fillId="0" borderId="0" xfId="3" applyFont="1" applyFill="1" applyBorder="1" applyAlignment="1" applyProtection="1">
      <alignment vertical="center"/>
    </xf>
    <xf numFmtId="164" fontId="0" fillId="0" borderId="0" xfId="2" applyNumberFormat="1" applyFont="1" applyFill="1" applyBorder="1" applyProtection="1"/>
    <xf numFmtId="44" fontId="0" fillId="0" borderId="0" xfId="2" applyFont="1" applyFill="1" applyBorder="1" applyProtection="1"/>
    <xf numFmtId="9" fontId="0" fillId="0" borderId="0" xfId="3" applyFont="1" applyFill="1" applyBorder="1" applyProtection="1"/>
    <xf numFmtId="164" fontId="7" fillId="0" borderId="0" xfId="2" applyNumberFormat="1" applyFont="1" applyFill="1" applyBorder="1" applyProtection="1"/>
    <xf numFmtId="44" fontId="7" fillId="0" borderId="0" xfId="2" applyFont="1" applyFill="1" applyBorder="1" applyProtection="1"/>
    <xf numFmtId="9" fontId="7" fillId="0" borderId="0" xfId="3" applyFont="1" applyFill="1" applyBorder="1" applyProtection="1"/>
    <xf numFmtId="164" fontId="0" fillId="0" borderId="1" xfId="2" applyNumberFormat="1" applyFont="1" applyFill="1" applyBorder="1" applyProtection="1"/>
    <xf numFmtId="9" fontId="0" fillId="0" borderId="1" xfId="3" applyFont="1" applyFill="1" applyBorder="1" applyProtection="1"/>
    <xf numFmtId="164" fontId="3" fillId="0" borderId="0" xfId="0" applyNumberFormat="1" applyFont="1"/>
    <xf numFmtId="44" fontId="3" fillId="0" borderId="2" xfId="2" applyFont="1" applyFill="1" applyBorder="1" applyProtection="1"/>
    <xf numFmtId="9" fontId="2" fillId="0" borderId="0" xfId="3" applyFont="1" applyBorder="1" applyProtection="1"/>
    <xf numFmtId="9" fontId="0" fillId="0" borderId="0" xfId="3" applyFont="1" applyBorder="1" applyProtection="1"/>
    <xf numFmtId="165" fontId="0" fillId="0" borderId="1" xfId="1" applyNumberFormat="1" applyFont="1" applyFill="1" applyBorder="1" applyProtection="1"/>
    <xf numFmtId="164" fontId="0" fillId="0" borderId="0" xfId="2" applyNumberFormat="1" applyFont="1" applyProtection="1"/>
    <xf numFmtId="44" fontId="0" fillId="0" borderId="0" xfId="2" applyFont="1" applyProtection="1"/>
    <xf numFmtId="9" fontId="0" fillId="0" borderId="0" xfId="3" applyFont="1" applyProtection="1"/>
    <xf numFmtId="44" fontId="0" fillId="0" borderId="0" xfId="2" applyFont="1" applyBorder="1" applyProtection="1"/>
    <xf numFmtId="44" fontId="3" fillId="0" borderId="2" xfId="2" applyFont="1" applyBorder="1" applyProtection="1"/>
    <xf numFmtId="9" fontId="0" fillId="0" borderId="2" xfId="3" applyFont="1" applyBorder="1" applyProtection="1"/>
    <xf numFmtId="164" fontId="3" fillId="0" borderId="0" xfId="2" applyNumberFormat="1" applyFont="1" applyProtection="1"/>
    <xf numFmtId="44" fontId="3" fillId="0" borderId="0" xfId="2" applyFont="1" applyProtection="1"/>
    <xf numFmtId="164" fontId="3" fillId="0" borderId="0" xfId="3" applyNumberFormat="1" applyFont="1" applyProtection="1"/>
    <xf numFmtId="9" fontId="3" fillId="0" borderId="0" xfId="3" applyFont="1" applyProtection="1"/>
    <xf numFmtId="0" fontId="3" fillId="0" borderId="2" xfId="0" applyFont="1" applyBorder="1" applyProtection="1">
      <protection locked="0"/>
    </xf>
    <xf numFmtId="165" fontId="3" fillId="0" borderId="2" xfId="1" applyNumberFormat="1" applyFont="1" applyBorder="1" applyProtection="1">
      <protection locked="0"/>
    </xf>
    <xf numFmtId="164" fontId="0" fillId="5" borderId="11" xfId="2" applyNumberFormat="1" applyFont="1" applyFill="1" applyBorder="1" applyProtection="1">
      <protection locked="0"/>
    </xf>
    <xf numFmtId="164" fontId="0" fillId="5" borderId="15" xfId="2" applyNumberFormat="1" applyFont="1" applyFill="1" applyBorder="1" applyProtection="1">
      <protection locked="0"/>
    </xf>
    <xf numFmtId="165" fontId="0" fillId="5" borderId="11" xfId="1" applyNumberFormat="1" applyFont="1" applyFill="1" applyBorder="1" applyProtection="1">
      <protection locked="0"/>
    </xf>
    <xf numFmtId="9" fontId="0" fillId="5" borderId="11" xfId="2" applyNumberFormat="1" applyFont="1" applyFill="1" applyBorder="1" applyProtection="1">
      <protection locked="0"/>
    </xf>
    <xf numFmtId="44" fontId="0" fillId="5" borderId="11" xfId="2" applyFont="1" applyFill="1" applyBorder="1" applyProtection="1">
      <protection locked="0"/>
    </xf>
    <xf numFmtId="44" fontId="7" fillId="5" borderId="11" xfId="2" applyFont="1" applyFill="1" applyBorder="1" applyProtection="1">
      <protection locked="0"/>
    </xf>
    <xf numFmtId="9" fontId="0" fillId="5" borderId="13" xfId="2" applyNumberFormat="1" applyFont="1" applyFill="1" applyBorder="1" applyProtection="1">
      <protection locked="0"/>
    </xf>
    <xf numFmtId="165" fontId="0" fillId="5" borderId="12" xfId="1" applyNumberFormat="1" applyFont="1" applyFill="1" applyBorder="1" applyProtection="1">
      <protection locked="0"/>
    </xf>
    <xf numFmtId="165" fontId="0" fillId="5" borderId="13" xfId="1" applyNumberFormat="1" applyFont="1" applyFill="1" applyBorder="1" applyProtection="1">
      <protection locked="0"/>
    </xf>
    <xf numFmtId="165" fontId="7" fillId="0" borderId="0" xfId="1" applyNumberFormat="1" applyFont="1" applyFill="1" applyBorder="1" applyProtection="1"/>
    <xf numFmtId="164" fontId="0" fillId="5" borderId="12" xfId="2" applyNumberFormat="1" applyFont="1" applyFill="1" applyBorder="1" applyProtection="1">
      <protection locked="0"/>
    </xf>
    <xf numFmtId="164" fontId="0" fillId="5" borderId="14" xfId="2" applyNumberFormat="1" applyFont="1" applyFill="1" applyBorder="1" applyProtection="1">
      <protection locked="0"/>
    </xf>
    <xf numFmtId="164" fontId="0" fillId="5" borderId="13" xfId="2" applyNumberFormat="1" applyFont="1" applyFill="1" applyBorder="1" applyProtection="1">
      <protection locked="0"/>
    </xf>
    <xf numFmtId="9" fontId="0" fillId="5" borderId="11" xfId="3" applyFont="1" applyFill="1" applyBorder="1" applyProtection="1">
      <protection locked="0"/>
    </xf>
    <xf numFmtId="10" fontId="0" fillId="5" borderId="11" xfId="3" applyNumberFormat="1" applyFont="1" applyFill="1" applyBorder="1" applyProtection="1">
      <protection locked="0"/>
    </xf>
    <xf numFmtId="165" fontId="3" fillId="0" borderId="0" xfId="1" applyNumberFormat="1" applyFont="1" applyBorder="1" applyProtection="1">
      <protection locked="0"/>
    </xf>
    <xf numFmtId="165" fontId="0" fillId="5" borderId="14" xfId="1" applyNumberFormat="1" applyFont="1" applyFill="1" applyBorder="1" applyProtection="1">
      <protection locked="0"/>
    </xf>
    <xf numFmtId="165" fontId="0" fillId="5" borderId="15" xfId="1" applyNumberFormat="1" applyFont="1" applyFill="1" applyBorder="1" applyProtection="1">
      <protection locked="0"/>
    </xf>
    <xf numFmtId="165" fontId="0" fillId="5" borderId="16" xfId="1" applyNumberFormat="1" applyFont="1" applyFill="1" applyBorder="1" applyProtection="1">
      <protection locked="0"/>
    </xf>
    <xf numFmtId="0" fontId="0" fillId="0" borderId="4" xfId="0" applyBorder="1"/>
    <xf numFmtId="164" fontId="3" fillId="0" borderId="0" xfId="2" applyNumberFormat="1" applyFont="1" applyBorder="1" applyProtection="1">
      <protection locked="0"/>
    </xf>
    <xf numFmtId="164" fontId="3" fillId="0" borderId="2" xfId="2" applyNumberFormat="1" applyFont="1" applyBorder="1" applyProtection="1"/>
    <xf numFmtId="44" fontId="0" fillId="6" borderId="0" xfId="0" applyNumberFormat="1" applyFill="1"/>
    <xf numFmtId="168" fontId="0" fillId="0" borderId="0" xfId="0" applyNumberFormat="1" applyProtection="1">
      <protection locked="0"/>
    </xf>
    <xf numFmtId="0" fontId="11" fillId="0" borderId="0" xfId="0" applyFont="1" applyProtection="1">
      <protection locked="0"/>
    </xf>
    <xf numFmtId="168" fontId="13" fillId="0" borderId="0" xfId="0" applyNumberFormat="1" applyFont="1" applyProtection="1">
      <protection locked="0"/>
    </xf>
    <xf numFmtId="0" fontId="0" fillId="0" borderId="0" xfId="0" applyAlignment="1">
      <alignment vertical="center" wrapText="1"/>
    </xf>
    <xf numFmtId="0" fontId="9" fillId="0" borderId="0" xfId="0" applyFont="1" applyAlignment="1">
      <alignment horizontal="left" vertical="center" wrapText="1"/>
    </xf>
    <xf numFmtId="0" fontId="10" fillId="0" borderId="0" xfId="0" applyFont="1"/>
    <xf numFmtId="0" fontId="3" fillId="0" borderId="0" xfId="0" applyFont="1" applyAlignment="1">
      <alignment wrapText="1"/>
    </xf>
    <xf numFmtId="165" fontId="0" fillId="0" borderId="0" xfId="0" applyNumberFormat="1"/>
    <xf numFmtId="168" fontId="0" fillId="0" borderId="0" xfId="0" applyNumberFormat="1"/>
    <xf numFmtId="168" fontId="12" fillId="0" borderId="0" xfId="0" applyNumberFormat="1" applyFont="1" applyAlignment="1">
      <alignment horizontal="center" vertical="center" wrapText="1"/>
    </xf>
    <xf numFmtId="0" fontId="4" fillId="2" borderId="1" xfId="0" applyFont="1" applyFill="1" applyBorder="1" applyAlignment="1">
      <alignment horizontal="center"/>
    </xf>
    <xf numFmtId="0" fontId="8" fillId="2" borderId="2" xfId="0" applyFont="1" applyFill="1" applyBorder="1" applyAlignment="1">
      <alignment horizontal="left" vertical="top" wrapText="1"/>
    </xf>
    <xf numFmtId="0" fontId="4" fillId="2" borderId="8" xfId="0" applyFont="1" applyFill="1" applyBorder="1" applyAlignment="1" applyProtection="1">
      <alignment horizontal="center"/>
      <protection locked="0"/>
    </xf>
    <xf numFmtId="0" fontId="4" fillId="2" borderId="9" xfId="0" applyFont="1" applyFill="1" applyBorder="1" applyAlignment="1" applyProtection="1">
      <alignment horizontal="center"/>
      <protection locked="0"/>
    </xf>
    <xf numFmtId="0" fontId="4" fillId="2" borderId="10" xfId="0" applyFont="1" applyFill="1" applyBorder="1" applyAlignment="1" applyProtection="1">
      <alignment horizontal="center"/>
      <protection locked="0"/>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3" borderId="1" xfId="0" applyFont="1" applyFill="1" applyBorder="1" applyAlignment="1">
      <alignment horizontal="center"/>
    </xf>
    <xf numFmtId="0" fontId="4" fillId="3" borderId="5" xfId="0" applyFont="1" applyFill="1" applyBorder="1" applyAlignment="1">
      <alignment horizontal="center" vertical="center" wrapText="1"/>
    </xf>
    <xf numFmtId="0" fontId="9" fillId="2" borderId="17" xfId="0" applyFont="1" applyFill="1" applyBorder="1" applyAlignment="1">
      <alignment horizontal="left" vertical="center" wrapText="1"/>
    </xf>
    <xf numFmtId="0" fontId="9" fillId="2" borderId="0" xfId="0" applyFont="1" applyFill="1" applyAlignment="1">
      <alignment horizontal="left" vertical="center" wrapText="1"/>
    </xf>
  </cellXfs>
  <cellStyles count="4">
    <cellStyle name="Comma" xfId="1" builtinId="3"/>
    <cellStyle name="Currency" xfId="2" builtinId="4"/>
    <cellStyle name="Normal" xfId="0" builtinId="0"/>
    <cellStyle name="Percent" xfId="3" builtinId="5"/>
  </cellStyles>
  <dxfs count="3">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253999</xdr:colOff>
      <xdr:row>18</xdr:row>
      <xdr:rowOff>79662</xdr:rowOff>
    </xdr:from>
    <xdr:ext cx="3274213" cy="537557"/>
    <xdr:pic>
      <xdr:nvPicPr>
        <xdr:cNvPr id="4" name="Picture 3" descr="Auburn University and Alabama Cooperative Extension System">
          <a:extLst>
            <a:ext uri="{FF2B5EF4-FFF2-40B4-BE49-F238E27FC236}">
              <a16:creationId xmlns:a16="http://schemas.microsoft.com/office/drawing/2014/main" id="{25DFA811-57B5-4E13-BBEF-20C22E2E19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3999" y="4651662"/>
          <a:ext cx="3274213" cy="537557"/>
        </a:xfrm>
        <a:prstGeom prst="rect">
          <a:avLst/>
        </a:prstGeom>
      </xdr:spPr>
    </xdr:pic>
    <xdr:clientData fLocksWithSheet="0"/>
  </xdr:oneCellAnchor>
  <xdr:twoCellAnchor editAs="oneCell">
    <xdr:from>
      <xdr:col>2</xdr:col>
      <xdr:colOff>449580</xdr:colOff>
      <xdr:row>18</xdr:row>
      <xdr:rowOff>60960</xdr:rowOff>
    </xdr:from>
    <xdr:to>
      <xdr:col>3</xdr:col>
      <xdr:colOff>243840</xdr:colOff>
      <xdr:row>21</xdr:row>
      <xdr:rowOff>114300</xdr:rowOff>
    </xdr:to>
    <xdr:pic>
      <xdr:nvPicPr>
        <xdr:cNvPr id="6" name="Picture 5" descr="Mississippi-Alabama Sea Grant | Ocean Springs MS">
          <a:extLst>
            <a:ext uri="{FF2B5EF4-FFF2-40B4-BE49-F238E27FC236}">
              <a16:creationId xmlns:a16="http://schemas.microsoft.com/office/drawing/2014/main" id="{32AD424D-5D53-4E7F-6245-11522F4FF6EC}"/>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 t="17544" r="2631" b="13158"/>
        <a:stretch>
          <a:fillRect/>
        </a:stretch>
      </xdr:blipFill>
      <xdr:spPr bwMode="auto">
        <a:xfrm>
          <a:off x="3764280" y="4061460"/>
          <a:ext cx="845820" cy="601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Taryn Garlock" id="{CA84686A-B084-4B36-99FF-1FC3C3A77E00}" userId="S::tmg0067@auburn.edu::84336a50-e0b9-4eac-9acf-178e712bcb9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6-05-01T15:18:12.13" personId="{CA84686A-B084-4B36-99FF-1FC3C3A77E00}" id="{86DCB189-B6A5-4777-ACA7-ECD88F7DCD9C}">
    <text>This assumes 11 pucks per pound</text>
  </threadedComment>
  <threadedComment ref="A11" dT="2026-04-29T19:46:40.99" personId="{CA84686A-B084-4B36-99FF-1FC3C3A77E00}" id="{79A63310-C45C-4F83-9233-79E345FAE58C}">
    <text>This assumes 8 lines per acre, and 12 cages per line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60513-B409-4CD9-AF13-E90DF7C63D5B}">
  <dimension ref="A1:S25"/>
  <sheetViews>
    <sheetView tabSelected="1" zoomScale="120" zoomScaleNormal="120" workbookViewId="0">
      <selection sqref="A1:D1"/>
    </sheetView>
  </sheetViews>
  <sheetFormatPr defaultColWidth="8.85546875" defaultRowHeight="15" x14ac:dyDescent="0.25"/>
  <cols>
    <col min="1" max="1" width="29.28515625" customWidth="1"/>
    <col min="2" max="2" width="19" customWidth="1"/>
    <col min="3" max="3" width="15.28515625" bestFit="1" customWidth="1"/>
    <col min="4" max="4" width="8.85546875" customWidth="1"/>
    <col min="5" max="5" width="9.42578125" bestFit="1" customWidth="1"/>
    <col min="6" max="6" width="9.140625" style="17"/>
    <col min="7" max="7" width="9.42578125" style="17" bestFit="1" customWidth="1"/>
    <col min="8" max="19" width="9.140625" style="17"/>
  </cols>
  <sheetData>
    <row r="1" spans="1:19" ht="18.75" x14ac:dyDescent="0.3">
      <c r="A1" s="120" t="s">
        <v>62</v>
      </c>
      <c r="B1" s="120"/>
      <c r="C1" s="120"/>
      <c r="D1" s="120"/>
      <c r="E1" s="17"/>
    </row>
    <row r="2" spans="1:19" ht="98.1" customHeight="1" x14ac:dyDescent="0.25">
      <c r="A2" s="121" t="s">
        <v>101</v>
      </c>
      <c r="B2" s="121"/>
      <c r="C2" s="121"/>
      <c r="D2" s="121"/>
      <c r="E2" s="17"/>
    </row>
    <row r="3" spans="1:19" s="13" customFormat="1" x14ac:dyDescent="0.25">
      <c r="A3" s="116"/>
      <c r="E3" s="18"/>
      <c r="F3" s="18"/>
      <c r="G3" s="18"/>
      <c r="H3" s="18"/>
      <c r="I3" s="18"/>
      <c r="J3" s="18"/>
      <c r="K3" s="18"/>
      <c r="L3" s="18"/>
      <c r="M3" s="18"/>
      <c r="N3" s="18"/>
      <c r="O3" s="18"/>
      <c r="P3" s="18"/>
      <c r="Q3" s="18"/>
      <c r="R3" s="18"/>
      <c r="S3" s="18"/>
    </row>
    <row r="4" spans="1:19" x14ac:dyDescent="0.25">
      <c r="A4" t="s">
        <v>36</v>
      </c>
      <c r="B4" t="s">
        <v>106</v>
      </c>
      <c r="C4" s="27">
        <f>Cages*Stocking_density_at_final_growout</f>
        <v>250000</v>
      </c>
      <c r="E4" s="20"/>
    </row>
    <row r="5" spans="1:19" x14ac:dyDescent="0.25">
      <c r="A5" t="s">
        <v>37</v>
      </c>
      <c r="B5" t="s">
        <v>106</v>
      </c>
      <c r="C5" s="117">
        <f>Target_annual_oyster_production*(1-(Survival/100))+Target_annual_oyster_production</f>
        <v>312500</v>
      </c>
      <c r="E5" s="17"/>
    </row>
    <row r="6" spans="1:19" ht="15.75" thickBot="1" x14ac:dyDescent="0.3">
      <c r="E6" s="17"/>
    </row>
    <row r="7" spans="1:19" ht="15.75" thickBot="1" x14ac:dyDescent="0.3">
      <c r="A7" t="s">
        <v>38</v>
      </c>
      <c r="B7" t="s">
        <v>1</v>
      </c>
      <c r="C7" s="21">
        <v>2</v>
      </c>
      <c r="D7" s="17"/>
      <c r="E7" s="17"/>
    </row>
    <row r="8" spans="1:19" ht="15.75" thickBot="1" x14ac:dyDescent="0.3">
      <c r="A8" t="s">
        <v>95</v>
      </c>
      <c r="B8" t="s">
        <v>57</v>
      </c>
      <c r="C8" s="22">
        <v>250</v>
      </c>
      <c r="D8" s="17"/>
      <c r="E8" s="17"/>
    </row>
    <row r="9" spans="1:19" ht="15.75" thickBot="1" x14ac:dyDescent="0.3">
      <c r="A9" t="s">
        <v>17</v>
      </c>
      <c r="B9" t="s">
        <v>18</v>
      </c>
      <c r="C9" s="23">
        <v>75</v>
      </c>
      <c r="D9" s="17"/>
      <c r="E9" s="17"/>
    </row>
    <row r="10" spans="1:19" ht="15.75" thickBot="1" x14ac:dyDescent="0.3">
      <c r="A10" t="s">
        <v>98</v>
      </c>
      <c r="B10" t="s">
        <v>96</v>
      </c>
      <c r="C10" s="24">
        <v>1000</v>
      </c>
      <c r="D10" s="17"/>
      <c r="E10" s="17"/>
    </row>
    <row r="11" spans="1:19" ht="15.75" thickBot="1" x14ac:dyDescent="0.3">
      <c r="A11" t="s">
        <v>66</v>
      </c>
      <c r="B11" t="s">
        <v>61</v>
      </c>
      <c r="C11" s="25">
        <v>0.55000000000000004</v>
      </c>
      <c r="D11" s="17"/>
      <c r="E11" s="17"/>
    </row>
    <row r="12" spans="1:19" x14ac:dyDescent="0.25">
      <c r="C12" s="26"/>
      <c r="D12" s="17"/>
      <c r="E12" s="17"/>
    </row>
    <row r="13" spans="1:19" x14ac:dyDescent="0.25">
      <c r="A13" s="4" t="s">
        <v>102</v>
      </c>
      <c r="C13" s="17"/>
      <c r="D13" s="17"/>
      <c r="E13" s="17"/>
    </row>
    <row r="14" spans="1:19" x14ac:dyDescent="0.25">
      <c r="A14" s="4" t="s">
        <v>67</v>
      </c>
      <c r="C14" s="17"/>
      <c r="D14" s="17"/>
      <c r="E14" s="17"/>
    </row>
    <row r="15" spans="1:19" x14ac:dyDescent="0.25">
      <c r="A15" s="4" t="s">
        <v>97</v>
      </c>
      <c r="C15" s="17"/>
      <c r="D15" s="17"/>
      <c r="E15" s="17"/>
    </row>
    <row r="16" spans="1:19" x14ac:dyDescent="0.25">
      <c r="A16" s="4" t="s">
        <v>99</v>
      </c>
      <c r="C16" s="17"/>
      <c r="D16" s="17"/>
      <c r="E16" s="17"/>
    </row>
    <row r="17" spans="1:19" x14ac:dyDescent="0.25">
      <c r="C17" s="17"/>
      <c r="D17" s="17"/>
      <c r="E17" s="17"/>
    </row>
    <row r="18" spans="1:19" x14ac:dyDescent="0.25">
      <c r="A18" s="115" t="s">
        <v>105</v>
      </c>
      <c r="B18" s="118"/>
      <c r="C18" s="110"/>
      <c r="D18" s="110"/>
      <c r="E18" s="17"/>
      <c r="F18"/>
    </row>
    <row r="19" spans="1:19" x14ac:dyDescent="0.25">
      <c r="A19" s="111"/>
      <c r="B19" s="110"/>
      <c r="C19" s="17"/>
      <c r="D19" s="17"/>
      <c r="E19" s="17"/>
      <c r="O19"/>
      <c r="P19"/>
      <c r="Q19"/>
      <c r="R19"/>
      <c r="S19"/>
    </row>
    <row r="20" spans="1:19" x14ac:dyDescent="0.25">
      <c r="A20" s="111"/>
      <c r="B20" s="110"/>
      <c r="C20" s="17"/>
      <c r="D20" s="17"/>
      <c r="E20" s="17"/>
      <c r="O20"/>
      <c r="P20"/>
      <c r="Q20"/>
      <c r="R20"/>
      <c r="S20"/>
    </row>
    <row r="21" spans="1:19" x14ac:dyDescent="0.25">
      <c r="A21" s="112"/>
      <c r="B21" s="110"/>
      <c r="C21" s="17"/>
      <c r="D21" s="17"/>
      <c r="E21" s="17"/>
      <c r="O21"/>
      <c r="P21"/>
      <c r="Q21"/>
      <c r="R21"/>
      <c r="S21"/>
    </row>
    <row r="23" spans="1:19" ht="14.45" customHeight="1" x14ac:dyDescent="0.25">
      <c r="A23" s="119" t="s">
        <v>108</v>
      </c>
      <c r="B23" s="119"/>
      <c r="C23" s="119"/>
      <c r="D23" s="113"/>
      <c r="E23" s="113"/>
    </row>
    <row r="24" spans="1:19" x14ac:dyDescent="0.25">
      <c r="A24" s="119"/>
      <c r="B24" s="119"/>
      <c r="C24" s="119"/>
      <c r="D24" s="113"/>
      <c r="E24" s="113"/>
    </row>
    <row r="25" spans="1:19" x14ac:dyDescent="0.25">
      <c r="A25" s="119"/>
      <c r="B25" s="119"/>
      <c r="C25" s="119"/>
      <c r="D25" s="113"/>
      <c r="E25" s="113"/>
    </row>
  </sheetData>
  <sheetProtection algorithmName="SHA-512" hashValue="mW2bIYaDxXwWXShBBchXekHg4RWgapo+OPH7PwG9RJMRtAIlTWKlQSFK7O2tS0/x9HYUYxqmz7qaMWwNWKCWCA==" saltValue="obCkyy8vFoTentSrtttCig==" spinCount="100000" sheet="1" objects="1" scenarios="1"/>
  <mergeCells count="3">
    <mergeCell ref="A23:C25"/>
    <mergeCell ref="A1:D1"/>
    <mergeCell ref="A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FBA5A-63FB-43B8-BA74-77333DE5FBDD}">
  <dimension ref="A1:BF39"/>
  <sheetViews>
    <sheetView workbookViewId="0">
      <selection sqref="A1:D1"/>
    </sheetView>
  </sheetViews>
  <sheetFormatPr defaultColWidth="8.85546875" defaultRowHeight="15" x14ac:dyDescent="0.25"/>
  <cols>
    <col min="1" max="1" width="29.42578125" customWidth="1"/>
    <col min="2" max="2" width="20.140625" customWidth="1"/>
    <col min="3" max="3" width="15" customWidth="1"/>
    <col min="4" max="6" width="20.140625" customWidth="1"/>
    <col min="7" max="7" width="21.85546875" customWidth="1"/>
    <col min="8" max="8" width="20.140625" customWidth="1"/>
  </cols>
  <sheetData>
    <row r="1" spans="1:58" ht="19.5" thickBot="1" x14ac:dyDescent="0.35">
      <c r="A1" s="122" t="s">
        <v>62</v>
      </c>
      <c r="B1" s="123"/>
      <c r="C1" s="123"/>
      <c r="D1" s="124"/>
      <c r="E1" s="17"/>
      <c r="F1" s="17"/>
      <c r="G1" s="17"/>
      <c r="H1" s="17"/>
      <c r="I1" s="17"/>
    </row>
    <row r="2" spans="1:58" x14ac:dyDescent="0.25">
      <c r="A2" s="17"/>
      <c r="B2" s="17"/>
      <c r="C2" s="17"/>
      <c r="D2" s="17"/>
      <c r="E2" s="17"/>
      <c r="F2" s="17"/>
      <c r="G2" s="17"/>
      <c r="H2" s="17"/>
      <c r="I2" s="17"/>
    </row>
    <row r="3" spans="1:58" ht="18.75" x14ac:dyDescent="0.3">
      <c r="A3" s="28" t="s">
        <v>11</v>
      </c>
      <c r="B3" s="29" t="s">
        <v>3</v>
      </c>
      <c r="C3" s="29" t="s">
        <v>13</v>
      </c>
      <c r="D3" s="29" t="s">
        <v>2</v>
      </c>
      <c r="E3" s="29" t="s">
        <v>10</v>
      </c>
      <c r="F3" s="17"/>
      <c r="G3" s="17"/>
      <c r="H3" s="17"/>
      <c r="I3" s="17"/>
    </row>
    <row r="4" spans="1:58" x14ac:dyDescent="0.25">
      <c r="A4" s="30" t="s">
        <v>93</v>
      </c>
      <c r="B4" s="106" t="s">
        <v>106</v>
      </c>
      <c r="C4" s="49">
        <f>Price</f>
        <v>0.55000000000000004</v>
      </c>
      <c r="D4" s="50">
        <f>Oyster_seed_planted*(Survival/100)</f>
        <v>234375</v>
      </c>
      <c r="E4" s="51">
        <f>D4*C4</f>
        <v>128906.25000000001</v>
      </c>
      <c r="F4" s="31"/>
      <c r="G4" s="17"/>
      <c r="H4" s="17"/>
      <c r="I4" s="17"/>
    </row>
    <row r="5" spans="1:58" x14ac:dyDescent="0.25">
      <c r="A5" s="32" t="s">
        <v>73</v>
      </c>
      <c r="D5" s="52">
        <f>SUM(D4:D4)</f>
        <v>234375</v>
      </c>
      <c r="E5" s="53">
        <f>SUM(E4:E4)</f>
        <v>128906.25000000001</v>
      </c>
      <c r="F5" s="33"/>
      <c r="G5" s="17"/>
      <c r="H5" s="17"/>
      <c r="I5" s="17"/>
    </row>
    <row r="6" spans="1:58" x14ac:dyDescent="0.25">
      <c r="A6" s="17"/>
      <c r="B6" s="17"/>
      <c r="C6" s="17"/>
      <c r="D6" s="17"/>
      <c r="E6" s="17"/>
      <c r="F6" s="17"/>
      <c r="G6" s="17"/>
      <c r="H6" s="17"/>
      <c r="I6" s="17"/>
    </row>
    <row r="7" spans="1:58" ht="38.25" thickBot="1" x14ac:dyDescent="0.35">
      <c r="A7" s="34" t="s">
        <v>12</v>
      </c>
      <c r="B7" s="35" t="s">
        <v>3</v>
      </c>
      <c r="C7" s="35" t="s">
        <v>13</v>
      </c>
      <c r="D7" s="35" t="s">
        <v>2</v>
      </c>
      <c r="E7" s="35" t="s">
        <v>14</v>
      </c>
      <c r="F7" s="35" t="s">
        <v>61</v>
      </c>
      <c r="G7" s="36" t="s">
        <v>15</v>
      </c>
      <c r="H7" s="36" t="s">
        <v>16</v>
      </c>
      <c r="I7" s="17"/>
    </row>
    <row r="8" spans="1:58" s="2" customFormat="1" ht="15.75" thickBot="1" x14ac:dyDescent="0.3">
      <c r="A8" s="37" t="s">
        <v>39</v>
      </c>
      <c r="B8" s="37" t="s">
        <v>71</v>
      </c>
      <c r="C8" s="87">
        <v>26</v>
      </c>
      <c r="D8" s="54">
        <f>Oyster_seed_planted/1000</f>
        <v>312.5</v>
      </c>
      <c r="E8" s="57">
        <f>C8*D8</f>
        <v>8125</v>
      </c>
      <c r="F8" s="58">
        <f t="shared" ref="F8:F19" si="0">E8/D$5</f>
        <v>3.4666666666666665E-2</v>
      </c>
      <c r="G8" s="59">
        <f t="shared" ref="G8:G19" si="1">E8/E$19</f>
        <v>9.6984775904028458E-2</v>
      </c>
      <c r="H8" s="59">
        <f t="shared" ref="H8:H19" si="2">E8/E$32</f>
        <v>7.0443840746107877E-2</v>
      </c>
      <c r="I8" s="17"/>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row>
    <row r="9" spans="1:58" ht="15.75" thickBot="1" x14ac:dyDescent="0.3">
      <c r="A9" s="17" t="s">
        <v>91</v>
      </c>
      <c r="B9" s="17"/>
      <c r="C9" s="39"/>
      <c r="D9" s="56"/>
      <c r="E9" s="55">
        <f>SUM(E10:E12)</f>
        <v>60284</v>
      </c>
      <c r="F9" s="60">
        <f t="shared" si="0"/>
        <v>0.25721173333333336</v>
      </c>
      <c r="G9" s="61">
        <f t="shared" si="1"/>
        <v>0.71958525915057869</v>
      </c>
      <c r="H9" s="61">
        <f t="shared" si="2"/>
        <v>0.52266295329702983</v>
      </c>
      <c r="I9" s="17"/>
    </row>
    <row r="10" spans="1:58" ht="15.75" thickBot="1" x14ac:dyDescent="0.3">
      <c r="A10" s="17" t="s">
        <v>88</v>
      </c>
      <c r="B10" s="17" t="s">
        <v>72</v>
      </c>
      <c r="C10" s="88">
        <v>20</v>
      </c>
      <c r="D10" s="89">
        <v>2080</v>
      </c>
      <c r="E10" s="62">
        <f t="shared" ref="E10" si="3">C10*D10</f>
        <v>41600</v>
      </c>
      <c r="F10" s="63">
        <f t="shared" si="0"/>
        <v>0.17749333333333334</v>
      </c>
      <c r="G10" s="64">
        <f t="shared" si="1"/>
        <v>0.49656205262862574</v>
      </c>
      <c r="H10" s="64">
        <f t="shared" si="2"/>
        <v>0.3606724646200723</v>
      </c>
      <c r="I10" s="17"/>
    </row>
    <row r="11" spans="1:58" ht="15.75" thickBot="1" x14ac:dyDescent="0.3">
      <c r="A11" s="17" t="s">
        <v>89</v>
      </c>
      <c r="B11" s="17" t="s">
        <v>72</v>
      </c>
      <c r="C11" s="87">
        <v>15</v>
      </c>
      <c r="D11" s="89">
        <v>960</v>
      </c>
      <c r="E11" s="62">
        <f t="shared" ref="E11:E18" si="4">C11*D11</f>
        <v>14400</v>
      </c>
      <c r="F11" s="63">
        <f t="shared" si="0"/>
        <v>6.1440000000000002E-2</v>
      </c>
      <c r="G11" s="64">
        <f t="shared" si="1"/>
        <v>0.17188686437144737</v>
      </c>
      <c r="H11" s="64">
        <f t="shared" si="2"/>
        <v>0.12484816083002503</v>
      </c>
      <c r="I11" s="17"/>
    </row>
    <row r="12" spans="1:58" ht="15.75" thickBot="1" x14ac:dyDescent="0.3">
      <c r="A12" s="17" t="s">
        <v>90</v>
      </c>
      <c r="B12" s="17" t="s">
        <v>21</v>
      </c>
      <c r="C12" s="90">
        <v>7.6499999999999999E-2</v>
      </c>
      <c r="D12" s="62">
        <f>SUM(E11,E10)</f>
        <v>56000</v>
      </c>
      <c r="E12" s="62">
        <f>D12*C12</f>
        <v>4284</v>
      </c>
      <c r="F12" s="63">
        <f t="shared" si="0"/>
        <v>1.82784E-2</v>
      </c>
      <c r="G12" s="64">
        <f t="shared" si="1"/>
        <v>5.1136342150505588E-2</v>
      </c>
      <c r="H12" s="64">
        <f t="shared" si="2"/>
        <v>3.7142327846932444E-2</v>
      </c>
      <c r="I12" s="17"/>
    </row>
    <row r="13" spans="1:58" ht="15.75" thickBot="1" x14ac:dyDescent="0.3">
      <c r="A13" s="17" t="s">
        <v>34</v>
      </c>
      <c r="B13" s="17" t="s">
        <v>19</v>
      </c>
      <c r="C13" s="91">
        <v>3.5</v>
      </c>
      <c r="D13" s="89">
        <f>25*52</f>
        <v>1300</v>
      </c>
      <c r="E13" s="62">
        <f t="shared" si="4"/>
        <v>4550</v>
      </c>
      <c r="F13" s="63">
        <f t="shared" si="0"/>
        <v>1.9413333333333335E-2</v>
      </c>
      <c r="G13" s="64">
        <f t="shared" si="1"/>
        <v>5.4311474506255938E-2</v>
      </c>
      <c r="H13" s="64">
        <f t="shared" si="2"/>
        <v>3.9448550817820408E-2</v>
      </c>
      <c r="I13" s="17"/>
    </row>
    <row r="14" spans="1:58" s="9" customFormat="1" ht="15.75" thickBot="1" x14ac:dyDescent="0.3">
      <c r="A14" s="41" t="s">
        <v>76</v>
      </c>
      <c r="B14" s="41" t="s">
        <v>107</v>
      </c>
      <c r="C14" s="92">
        <v>0.25</v>
      </c>
      <c r="D14" s="96">
        <f>(Target_annual_oyster_production/100)</f>
        <v>2500</v>
      </c>
      <c r="E14" s="65">
        <f t="shared" si="4"/>
        <v>625</v>
      </c>
      <c r="F14" s="66">
        <f t="shared" si="0"/>
        <v>2.6666666666666666E-3</v>
      </c>
      <c r="G14" s="67">
        <f t="shared" si="1"/>
        <v>7.4603673772329583E-3</v>
      </c>
      <c r="H14" s="67">
        <f t="shared" si="2"/>
        <v>5.4187569804698367E-3</v>
      </c>
      <c r="I14" s="41"/>
    </row>
    <row r="15" spans="1:58" ht="15.75" thickBot="1" x14ac:dyDescent="0.3">
      <c r="A15" s="17" t="s">
        <v>40</v>
      </c>
      <c r="B15" s="17"/>
      <c r="C15" s="87">
        <v>1500</v>
      </c>
      <c r="D15" s="56">
        <v>1</v>
      </c>
      <c r="E15" s="62">
        <f t="shared" si="4"/>
        <v>1500</v>
      </c>
      <c r="F15" s="63">
        <f t="shared" si="0"/>
        <v>6.4000000000000003E-3</v>
      </c>
      <c r="G15" s="64">
        <f t="shared" si="1"/>
        <v>1.7904881705359102E-2</v>
      </c>
      <c r="H15" s="64">
        <f t="shared" si="2"/>
        <v>1.3005016753127607E-2</v>
      </c>
      <c r="I15" s="17"/>
    </row>
    <row r="16" spans="1:58" ht="15.75" thickBot="1" x14ac:dyDescent="0.3">
      <c r="A16" s="42" t="s">
        <v>22</v>
      </c>
      <c r="B16" s="17" t="s">
        <v>1</v>
      </c>
      <c r="C16" s="87">
        <v>100</v>
      </c>
      <c r="D16" s="56">
        <f>Farm_size</f>
        <v>2</v>
      </c>
      <c r="E16" s="62">
        <f t="shared" si="4"/>
        <v>200</v>
      </c>
      <c r="F16" s="63">
        <f t="shared" si="0"/>
        <v>8.5333333333333333E-4</v>
      </c>
      <c r="G16" s="64">
        <f t="shared" si="1"/>
        <v>2.3873175607145468E-3</v>
      </c>
      <c r="H16" s="64">
        <f t="shared" si="2"/>
        <v>1.7340022337503475E-3</v>
      </c>
      <c r="I16" s="17"/>
    </row>
    <row r="17" spans="1:58" ht="15.75" thickBot="1" x14ac:dyDescent="0.3">
      <c r="A17" s="17" t="s">
        <v>20</v>
      </c>
      <c r="B17" s="17" t="s">
        <v>21</v>
      </c>
      <c r="C17" s="90">
        <v>0.04</v>
      </c>
      <c r="D17" s="62">
        <f>SUM(E8:E9,E13:E16)</f>
        <v>75284</v>
      </c>
      <c r="E17" s="62">
        <f t="shared" si="4"/>
        <v>3011.36</v>
      </c>
      <c r="F17" s="63">
        <f t="shared" si="0"/>
        <v>1.2848469333333334E-2</v>
      </c>
      <c r="G17" s="64">
        <f t="shared" si="1"/>
        <v>3.5945363048166791E-2</v>
      </c>
      <c r="H17" s="64">
        <f t="shared" si="2"/>
        <v>2.6108524833132234E-2</v>
      </c>
      <c r="I17" s="17"/>
    </row>
    <row r="18" spans="1:58" s="3" customFormat="1" ht="15.75" thickBot="1" x14ac:dyDescent="0.3">
      <c r="A18" s="43" t="s">
        <v>23</v>
      </c>
      <c r="B18" s="43" t="s">
        <v>21</v>
      </c>
      <c r="C18" s="93">
        <v>7.0000000000000007E-2</v>
      </c>
      <c r="D18" s="68">
        <f>SUM(E8:E9,E13:E17)</f>
        <v>78295.360000000001</v>
      </c>
      <c r="E18" s="68">
        <f t="shared" si="4"/>
        <v>5480.6752000000006</v>
      </c>
      <c r="F18" s="63">
        <f t="shared" si="0"/>
        <v>2.3384214186666669E-2</v>
      </c>
      <c r="G18" s="69">
        <f t="shared" si="1"/>
        <v>6.5420560747663559E-2</v>
      </c>
      <c r="H18" s="69">
        <f t="shared" si="2"/>
        <v>4.7517515196300673E-2</v>
      </c>
      <c r="I18" s="17"/>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row>
    <row r="19" spans="1:58" x14ac:dyDescent="0.25">
      <c r="A19" s="32" t="s">
        <v>24</v>
      </c>
      <c r="B19" s="17"/>
      <c r="C19" s="17"/>
      <c r="D19" s="17"/>
      <c r="E19" s="70">
        <f>SUM(E8:E9,E13:E18)</f>
        <v>83776.035199999998</v>
      </c>
      <c r="F19" s="71">
        <f t="shared" si="0"/>
        <v>0.35744441685333334</v>
      </c>
      <c r="G19" s="72">
        <f t="shared" si="1"/>
        <v>1</v>
      </c>
      <c r="H19" s="73">
        <f t="shared" si="2"/>
        <v>0.72633916085773875</v>
      </c>
      <c r="I19" s="17"/>
    </row>
    <row r="20" spans="1:58" x14ac:dyDescent="0.25">
      <c r="A20" s="17"/>
      <c r="B20" s="17"/>
      <c r="C20" s="17"/>
      <c r="D20" s="17"/>
      <c r="E20" s="17"/>
      <c r="F20" s="17"/>
      <c r="G20" s="17"/>
      <c r="H20" s="17"/>
      <c r="I20" s="17"/>
    </row>
    <row r="21" spans="1:58" x14ac:dyDescent="0.25">
      <c r="A21" s="32" t="s">
        <v>25</v>
      </c>
      <c r="B21" s="17"/>
      <c r="C21" s="17"/>
      <c r="D21" s="17"/>
      <c r="E21" s="70">
        <f>E5-E19</f>
        <v>45130.214800000016</v>
      </c>
      <c r="F21" s="44"/>
      <c r="G21" s="17"/>
      <c r="H21" s="17"/>
      <c r="I21" s="17"/>
    </row>
    <row r="22" spans="1:58" x14ac:dyDescent="0.25">
      <c r="A22" s="17"/>
      <c r="B22" s="17"/>
      <c r="C22" s="17"/>
      <c r="D22" s="17"/>
      <c r="E22" s="17"/>
      <c r="F22" s="17"/>
      <c r="G22" s="17"/>
      <c r="H22" s="17"/>
      <c r="I22" s="17"/>
    </row>
    <row r="23" spans="1:58" ht="37.5" x14ac:dyDescent="0.3">
      <c r="A23" s="28" t="s">
        <v>26</v>
      </c>
      <c r="B23" s="29" t="s">
        <v>3</v>
      </c>
      <c r="C23" s="35" t="s">
        <v>13</v>
      </c>
      <c r="D23" s="35" t="s">
        <v>2</v>
      </c>
      <c r="E23" s="29" t="s">
        <v>14</v>
      </c>
      <c r="F23" s="29" t="s">
        <v>61</v>
      </c>
      <c r="G23" s="45" t="s">
        <v>27</v>
      </c>
      <c r="H23" s="45" t="s">
        <v>16</v>
      </c>
      <c r="I23" s="17"/>
    </row>
    <row r="24" spans="1:58" x14ac:dyDescent="0.25">
      <c r="A24" s="17" t="s">
        <v>9</v>
      </c>
      <c r="B24" s="17"/>
      <c r="C24" s="38"/>
      <c r="D24" s="54"/>
      <c r="E24" s="75">
        <f>'Capital costs'!G23</f>
        <v>20250.666666666668</v>
      </c>
      <c r="F24" s="76">
        <f>E24/D$5</f>
        <v>8.6402844444444446E-2</v>
      </c>
      <c r="G24" s="77">
        <f>E24/E$30</f>
        <v>0.64157336769473794</v>
      </c>
      <c r="H24" s="77">
        <f>E24/E$32</f>
        <v>0.17557350617466855</v>
      </c>
      <c r="I24" s="17"/>
    </row>
    <row r="25" spans="1:58" ht="15.75" thickBot="1" x14ac:dyDescent="0.3">
      <c r="A25" s="17" t="s">
        <v>28</v>
      </c>
      <c r="B25" s="17"/>
      <c r="C25" s="40"/>
      <c r="D25" s="56"/>
      <c r="E25" s="62">
        <f>'Capital costs'!C30</f>
        <v>6464.5425000000005</v>
      </c>
      <c r="F25" s="76">
        <f t="shared" ref="F25:F30" si="5">E25/D$5</f>
        <v>2.7582048000000001E-2</v>
      </c>
      <c r="G25" s="64">
        <f>E25/E$30</f>
        <v>0.20480700070766858</v>
      </c>
      <c r="H25" s="77">
        <f t="shared" ref="H25:H30" si="6">E25/E$32</f>
        <v>5.6047655675870285E-2</v>
      </c>
      <c r="I25" s="17"/>
    </row>
    <row r="26" spans="1:58" ht="15.75" thickBot="1" x14ac:dyDescent="0.3">
      <c r="A26" s="17" t="s">
        <v>74</v>
      </c>
      <c r="B26" s="17" t="s">
        <v>1</v>
      </c>
      <c r="C26" s="97">
        <v>250</v>
      </c>
      <c r="D26" s="56">
        <f>Farm_size</f>
        <v>2</v>
      </c>
      <c r="E26" s="62">
        <f t="shared" ref="E26" si="7">C26*D26</f>
        <v>500</v>
      </c>
      <c r="F26" s="76">
        <f t="shared" ref="F26" si="8">E26/D$5</f>
        <v>2.1333333333333334E-3</v>
      </c>
      <c r="G26" s="64">
        <f t="shared" ref="G26" si="9">E26/E$30</f>
        <v>1.5840796213163467E-2</v>
      </c>
      <c r="H26" s="77">
        <f t="shared" si="6"/>
        <v>4.3350055843758692E-3</v>
      </c>
      <c r="I26" s="17"/>
    </row>
    <row r="27" spans="1:58" ht="15.75" thickBot="1" x14ac:dyDescent="0.3">
      <c r="A27" s="17" t="s">
        <v>75</v>
      </c>
      <c r="B27" s="17" t="s">
        <v>107</v>
      </c>
      <c r="C27" s="87">
        <v>250</v>
      </c>
      <c r="D27" s="56">
        <v>1</v>
      </c>
      <c r="E27" s="62">
        <f t="shared" ref="E27:E29" si="10">C27*D27</f>
        <v>250</v>
      </c>
      <c r="F27" s="76">
        <f t="shared" si="5"/>
        <v>1.0666666666666667E-3</v>
      </c>
      <c r="G27" s="64">
        <f t="shared" ref="G27:G29" si="11">E27/E$30</f>
        <v>7.9203981065817334E-3</v>
      </c>
      <c r="H27" s="77">
        <f t="shared" si="6"/>
        <v>2.1675027921879346E-3</v>
      </c>
      <c r="I27" s="17"/>
    </row>
    <row r="28" spans="1:58" ht="15.75" thickBot="1" x14ac:dyDescent="0.3">
      <c r="A28" s="17" t="s">
        <v>44</v>
      </c>
      <c r="B28" s="17" t="s">
        <v>21</v>
      </c>
      <c r="C28" s="90">
        <v>0.03</v>
      </c>
      <c r="D28" s="62">
        <f>SUM(E8:E9,E13:E17)</f>
        <v>78295.360000000001</v>
      </c>
      <c r="E28" s="62">
        <f>D28*C28</f>
        <v>2348.8607999999999</v>
      </c>
      <c r="F28" s="76">
        <f t="shared" si="5"/>
        <v>1.0021806079999999E-2</v>
      </c>
      <c r="G28" s="64">
        <f t="shared" si="11"/>
        <v>7.441565053177622E-2</v>
      </c>
      <c r="H28" s="77">
        <f t="shared" si="6"/>
        <v>2.0364649369843141E-2</v>
      </c>
      <c r="I28" s="17"/>
    </row>
    <row r="29" spans="1:58" s="3" customFormat="1" ht="15.75" thickBot="1" x14ac:dyDescent="0.3">
      <c r="A29" s="43" t="s">
        <v>43</v>
      </c>
      <c r="B29" s="43"/>
      <c r="C29" s="99">
        <v>1750</v>
      </c>
      <c r="D29" s="74">
        <v>1</v>
      </c>
      <c r="E29" s="68">
        <f t="shared" si="10"/>
        <v>1750</v>
      </c>
      <c r="F29" s="78">
        <f t="shared" si="5"/>
        <v>7.4666666666666666E-3</v>
      </c>
      <c r="G29" s="69">
        <f t="shared" si="11"/>
        <v>5.5442786746072129E-2</v>
      </c>
      <c r="H29" s="77">
        <f t="shared" si="6"/>
        <v>1.5172519545315542E-2</v>
      </c>
      <c r="I29" s="17"/>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row>
    <row r="30" spans="1:58" x14ac:dyDescent="0.25">
      <c r="A30" s="32" t="s">
        <v>30</v>
      </c>
      <c r="B30" s="17"/>
      <c r="C30" s="17"/>
      <c r="E30" s="70">
        <f>SUM(E24:E29)</f>
        <v>31564.069966666666</v>
      </c>
      <c r="F30" s="79">
        <f t="shared" si="5"/>
        <v>0.13467336519111112</v>
      </c>
      <c r="G30" s="73">
        <f>E30/E$30</f>
        <v>1</v>
      </c>
      <c r="H30" s="80">
        <f t="shared" si="6"/>
        <v>0.2736608391422613</v>
      </c>
      <c r="I30" s="17"/>
    </row>
    <row r="31" spans="1:58" x14ac:dyDescent="0.25">
      <c r="A31" s="17"/>
      <c r="B31" s="17"/>
      <c r="C31" s="17"/>
      <c r="D31" s="17"/>
      <c r="E31" s="17"/>
      <c r="F31" s="17"/>
      <c r="G31" s="17"/>
      <c r="H31" s="17"/>
      <c r="I31" s="17"/>
    </row>
    <row r="32" spans="1:58" x14ac:dyDescent="0.25">
      <c r="A32" s="32" t="s">
        <v>31</v>
      </c>
      <c r="B32" s="17"/>
      <c r="C32" s="17"/>
      <c r="D32" s="17"/>
      <c r="E32" s="70">
        <f>SUM(E30,E19)</f>
        <v>115340.10516666666</v>
      </c>
      <c r="F32" s="44"/>
      <c r="G32" s="17"/>
      <c r="H32" s="17"/>
      <c r="I32" s="17"/>
    </row>
    <row r="33" spans="1:9" x14ac:dyDescent="0.25">
      <c r="A33" s="32" t="s">
        <v>87</v>
      </c>
      <c r="B33" s="17"/>
      <c r="C33" s="17"/>
      <c r="D33" s="17"/>
      <c r="E33" s="70">
        <f>TOTAL_COSTS-E9</f>
        <v>55056.105166666661</v>
      </c>
      <c r="F33" s="44"/>
      <c r="G33" s="17"/>
      <c r="H33" s="17"/>
      <c r="I33" s="17"/>
    </row>
    <row r="34" spans="1:9" x14ac:dyDescent="0.25">
      <c r="A34" s="32"/>
      <c r="B34" s="17"/>
      <c r="C34" s="17"/>
      <c r="D34" s="17"/>
      <c r="E34" s="17"/>
      <c r="F34" s="17"/>
      <c r="G34" s="17"/>
      <c r="H34" s="17"/>
      <c r="I34" s="17"/>
    </row>
    <row r="35" spans="1:9" x14ac:dyDescent="0.25">
      <c r="A35" s="32" t="s">
        <v>32</v>
      </c>
      <c r="B35" s="17"/>
      <c r="C35" s="17"/>
      <c r="D35" s="17"/>
      <c r="E35" s="81">
        <f>E5-E32</f>
        <v>13566.144833333354</v>
      </c>
      <c r="F35" s="82">
        <f>E35/D5</f>
        <v>5.7882217955555641E-2</v>
      </c>
      <c r="G35" s="31"/>
      <c r="H35" s="17"/>
      <c r="I35" s="17"/>
    </row>
    <row r="36" spans="1:9" x14ac:dyDescent="0.25">
      <c r="A36" s="32" t="s">
        <v>33</v>
      </c>
      <c r="B36" s="17"/>
      <c r="C36" s="17"/>
      <c r="D36" s="17"/>
      <c r="E36" s="82">
        <f>E32/D5</f>
        <v>0.4921177820444444</v>
      </c>
      <c r="F36" s="46"/>
      <c r="G36" s="17"/>
      <c r="H36" s="17"/>
      <c r="I36" s="17"/>
    </row>
    <row r="37" spans="1:9" x14ac:dyDescent="0.25">
      <c r="A37" s="32"/>
      <c r="B37" s="17"/>
      <c r="C37" s="17"/>
      <c r="D37" s="17"/>
      <c r="E37" s="46"/>
      <c r="F37" s="46"/>
      <c r="G37" s="17"/>
      <c r="H37" s="17"/>
      <c r="I37" s="17"/>
    </row>
    <row r="38" spans="1:9" x14ac:dyDescent="0.25">
      <c r="A38" s="32" t="s">
        <v>59</v>
      </c>
      <c r="B38" s="17"/>
      <c r="C38" s="17"/>
      <c r="D38" s="17"/>
      <c r="E38" s="83">
        <f>(E5-SUM(E8:E9,E13:E14,E16:E17,E24))</f>
        <v>31860.223333333342</v>
      </c>
      <c r="F38" s="47"/>
      <c r="G38" s="17"/>
      <c r="H38" s="17"/>
      <c r="I38" s="17"/>
    </row>
    <row r="39" spans="1:9" x14ac:dyDescent="0.25">
      <c r="A39" s="32" t="s">
        <v>60</v>
      </c>
      <c r="B39" s="17"/>
      <c r="C39" s="17"/>
      <c r="D39" s="17"/>
      <c r="E39" s="84">
        <f>E38/E5</f>
        <v>0.24715809616161621</v>
      </c>
      <c r="F39" s="48"/>
      <c r="G39" s="17"/>
      <c r="H39" s="17"/>
      <c r="I39" s="17"/>
    </row>
  </sheetData>
  <sheetProtection algorithmName="SHA-512" hashValue="gjGH6aj+kjh9WUoj5Rgm6AS+9LWSrAgFxD9+XNuuvHqCBefVf/DeFv7W8TxLc6MJT86tRuzh/+U/EVjf/FuYaA==" saltValue="mxNcbHOObED5LBGj7uWQoQ==" spinCount="100000" sheet="1" objects="1" scenarios="1"/>
  <mergeCells count="1">
    <mergeCell ref="A1:D1"/>
  </mergeCells>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E32FA-87EA-4F2D-AD7E-0F1FE8B1F60B}">
  <dimension ref="A1:G34"/>
  <sheetViews>
    <sheetView workbookViewId="0"/>
  </sheetViews>
  <sheetFormatPr defaultColWidth="8.85546875" defaultRowHeight="15" x14ac:dyDescent="0.25"/>
  <cols>
    <col min="1" max="1" width="20.7109375" customWidth="1"/>
    <col min="3" max="4" width="14" customWidth="1"/>
    <col min="5" max="5" width="12.85546875" bestFit="1" customWidth="1"/>
    <col min="6" max="6" width="13.140625" customWidth="1"/>
    <col min="7" max="7" width="18.42578125" customWidth="1"/>
  </cols>
  <sheetData>
    <row r="1" spans="1:7" ht="45" customHeight="1" thickBot="1" x14ac:dyDescent="0.35">
      <c r="A1" s="28" t="s">
        <v>55</v>
      </c>
      <c r="B1" s="29" t="s">
        <v>3</v>
      </c>
      <c r="C1" s="35" t="s">
        <v>2</v>
      </c>
      <c r="D1" s="35" t="s">
        <v>56</v>
      </c>
      <c r="E1" s="29" t="s">
        <v>14</v>
      </c>
      <c r="F1" s="35" t="s">
        <v>52</v>
      </c>
      <c r="G1" s="45" t="s">
        <v>58</v>
      </c>
    </row>
    <row r="2" spans="1:7" ht="15.75" thickBot="1" x14ac:dyDescent="0.3">
      <c r="A2" s="17" t="s">
        <v>35</v>
      </c>
      <c r="B2" s="19" t="s">
        <v>57</v>
      </c>
      <c r="C2" s="104">
        <v>1</v>
      </c>
      <c r="D2" s="87">
        <v>25000</v>
      </c>
      <c r="E2" s="75">
        <f>C2*D2</f>
        <v>25000</v>
      </c>
      <c r="F2" s="94">
        <v>10</v>
      </c>
      <c r="G2" s="75">
        <f>E2/F2</f>
        <v>2500</v>
      </c>
    </row>
    <row r="3" spans="1:7" ht="15.75" thickBot="1" x14ac:dyDescent="0.3">
      <c r="A3" s="17" t="s">
        <v>4</v>
      </c>
      <c r="B3" s="19" t="s">
        <v>57</v>
      </c>
      <c r="C3" s="89">
        <f>ROUNDUP(Target_annual_oyster_production/52/2/100,0)</f>
        <v>25</v>
      </c>
      <c r="D3" s="87">
        <v>22.5</v>
      </c>
      <c r="E3" s="75">
        <f t="shared" ref="E3:E22" si="0">C3*D3</f>
        <v>562.5</v>
      </c>
      <c r="F3" s="89">
        <v>5</v>
      </c>
      <c r="G3" s="75">
        <f t="shared" ref="G3:G22" si="1">E3/F3</f>
        <v>112.5</v>
      </c>
    </row>
    <row r="4" spans="1:7" ht="15.75" thickBot="1" x14ac:dyDescent="0.3">
      <c r="A4" s="17" t="s">
        <v>5</v>
      </c>
      <c r="B4" s="19" t="s">
        <v>57</v>
      </c>
      <c r="C4" s="105">
        <v>1</v>
      </c>
      <c r="D4" s="87">
        <v>45000</v>
      </c>
      <c r="E4" s="75">
        <f t="shared" si="0"/>
        <v>45000</v>
      </c>
      <c r="F4" s="103">
        <v>10</v>
      </c>
      <c r="G4" s="75">
        <f t="shared" si="1"/>
        <v>4500</v>
      </c>
    </row>
    <row r="5" spans="1:7" ht="15.75" thickBot="1" x14ac:dyDescent="0.3">
      <c r="A5" s="17" t="s">
        <v>41</v>
      </c>
      <c r="B5" s="19" t="s">
        <v>57</v>
      </c>
      <c r="C5" s="27">
        <f>('Start Here'!C8*0.1)</f>
        <v>25</v>
      </c>
      <c r="D5" s="97">
        <v>334</v>
      </c>
      <c r="E5" s="75">
        <f t="shared" si="0"/>
        <v>8350</v>
      </c>
      <c r="F5" s="89">
        <v>10</v>
      </c>
      <c r="G5" s="75">
        <f t="shared" si="1"/>
        <v>835</v>
      </c>
    </row>
    <row r="6" spans="1:7" ht="15.75" thickBot="1" x14ac:dyDescent="0.3">
      <c r="A6" s="17" t="s">
        <v>42</v>
      </c>
      <c r="B6" s="19" t="s">
        <v>57</v>
      </c>
      <c r="C6" s="27">
        <f>'Start Here'!C8*0.9</f>
        <v>225</v>
      </c>
      <c r="D6" s="87">
        <v>334</v>
      </c>
      <c r="E6" s="75">
        <f t="shared" si="0"/>
        <v>75150</v>
      </c>
      <c r="F6" s="103">
        <v>10</v>
      </c>
      <c r="G6" s="75">
        <f t="shared" si="1"/>
        <v>7515</v>
      </c>
    </row>
    <row r="7" spans="1:7" ht="15.75" thickBot="1" x14ac:dyDescent="0.3">
      <c r="A7" s="17" t="s">
        <v>53</v>
      </c>
      <c r="B7" s="19" t="s">
        <v>57</v>
      </c>
      <c r="C7" s="27">
        <f>C5*6</f>
        <v>150</v>
      </c>
      <c r="D7" s="98">
        <v>7</v>
      </c>
      <c r="E7" s="75">
        <f t="shared" si="0"/>
        <v>1050</v>
      </c>
      <c r="F7" s="89">
        <v>5</v>
      </c>
      <c r="G7" s="75">
        <f t="shared" si="1"/>
        <v>210</v>
      </c>
    </row>
    <row r="8" spans="1:7" ht="15.75" thickBot="1" x14ac:dyDescent="0.3">
      <c r="A8" s="17" t="s">
        <v>54</v>
      </c>
      <c r="B8" s="19" t="s">
        <v>57</v>
      </c>
      <c r="C8" s="27">
        <f>C6*6</f>
        <v>1350</v>
      </c>
      <c r="D8" s="87">
        <v>7</v>
      </c>
      <c r="E8" s="75">
        <f t="shared" si="0"/>
        <v>9450</v>
      </c>
      <c r="F8" s="103">
        <v>5</v>
      </c>
      <c r="G8" s="75">
        <f t="shared" si="1"/>
        <v>1890</v>
      </c>
    </row>
    <row r="9" spans="1:7" ht="15.75" thickBot="1" x14ac:dyDescent="0.3">
      <c r="A9" s="17" t="s">
        <v>64</v>
      </c>
      <c r="B9" s="19" t="s">
        <v>80</v>
      </c>
      <c r="C9" s="94">
        <v>1</v>
      </c>
      <c r="D9" s="98">
        <v>995</v>
      </c>
      <c r="E9" s="75">
        <f t="shared" si="0"/>
        <v>995</v>
      </c>
      <c r="F9" s="89">
        <v>5</v>
      </c>
      <c r="G9" s="75">
        <f t="shared" si="1"/>
        <v>199</v>
      </c>
    </row>
    <row r="10" spans="1:7" ht="15.75" thickBot="1" x14ac:dyDescent="0.3">
      <c r="A10" s="17" t="s">
        <v>63</v>
      </c>
      <c r="B10" s="19" t="s">
        <v>79</v>
      </c>
      <c r="C10" s="94">
        <f>SUM(C5:C6)*2/11</f>
        <v>45.454545454545453</v>
      </c>
      <c r="D10" s="97">
        <f>82.5/20</f>
        <v>4.125</v>
      </c>
      <c r="E10" s="75">
        <f t="shared" si="0"/>
        <v>187.5</v>
      </c>
      <c r="F10" s="103">
        <v>5</v>
      </c>
      <c r="G10" s="75">
        <f t="shared" si="1"/>
        <v>37.5</v>
      </c>
    </row>
    <row r="11" spans="1:7" ht="15.75" thickBot="1" x14ac:dyDescent="0.3">
      <c r="A11" s="17" t="s">
        <v>77</v>
      </c>
      <c r="B11" s="19" t="s">
        <v>57</v>
      </c>
      <c r="C11" s="89">
        <v>32</v>
      </c>
      <c r="D11" s="87">
        <v>54</v>
      </c>
      <c r="E11" s="75">
        <f t="shared" si="0"/>
        <v>1728</v>
      </c>
      <c r="F11" s="89">
        <v>10</v>
      </c>
      <c r="G11" s="75">
        <f t="shared" si="1"/>
        <v>172.8</v>
      </c>
    </row>
    <row r="12" spans="1:7" ht="15.75" thickBot="1" x14ac:dyDescent="0.3">
      <c r="A12" s="17" t="s">
        <v>78</v>
      </c>
      <c r="B12" s="19" t="s">
        <v>57</v>
      </c>
      <c r="C12" s="103">
        <v>32</v>
      </c>
      <c r="D12" s="98">
        <v>13</v>
      </c>
      <c r="E12" s="75">
        <f t="shared" si="0"/>
        <v>416</v>
      </c>
      <c r="F12" s="103">
        <v>5</v>
      </c>
      <c r="G12" s="75">
        <f t="shared" si="1"/>
        <v>83.2</v>
      </c>
    </row>
    <row r="13" spans="1:7" ht="15.75" thickBot="1" x14ac:dyDescent="0.3">
      <c r="A13" s="17" t="s">
        <v>81</v>
      </c>
      <c r="B13" s="19" t="s">
        <v>57</v>
      </c>
      <c r="C13" s="89">
        <v>5</v>
      </c>
      <c r="D13" s="87">
        <v>80</v>
      </c>
      <c r="E13" s="75">
        <f t="shared" si="0"/>
        <v>400</v>
      </c>
      <c r="F13" s="89">
        <v>10</v>
      </c>
      <c r="G13" s="75">
        <f t="shared" si="1"/>
        <v>40</v>
      </c>
    </row>
    <row r="14" spans="1:7" ht="15.75" thickBot="1" x14ac:dyDescent="0.3">
      <c r="A14" s="17" t="s">
        <v>83</v>
      </c>
      <c r="B14" s="19" t="s">
        <v>82</v>
      </c>
      <c r="C14" s="95">
        <f>ROUNDUP(SUM(C5:C6)*4*2/1200,0)</f>
        <v>2</v>
      </c>
      <c r="D14" s="99">
        <v>160</v>
      </c>
      <c r="E14" s="75">
        <f t="shared" si="0"/>
        <v>320</v>
      </c>
      <c r="F14" s="103">
        <v>5</v>
      </c>
      <c r="G14" s="75">
        <f t="shared" ref="G14" si="2">E14/F14</f>
        <v>64</v>
      </c>
    </row>
    <row r="15" spans="1:7" ht="15.75" thickBot="1" x14ac:dyDescent="0.3">
      <c r="A15" s="17" t="s">
        <v>94</v>
      </c>
      <c r="B15" s="19"/>
      <c r="C15" s="103">
        <v>1</v>
      </c>
      <c r="D15" s="98">
        <v>500</v>
      </c>
      <c r="E15" s="75">
        <f t="shared" si="0"/>
        <v>500</v>
      </c>
      <c r="F15" s="89">
        <v>5</v>
      </c>
      <c r="G15" s="75">
        <f t="shared" si="1"/>
        <v>100</v>
      </c>
    </row>
    <row r="16" spans="1:7" ht="15.75" thickBot="1" x14ac:dyDescent="0.3">
      <c r="A16" s="17" t="s">
        <v>6</v>
      </c>
      <c r="B16" s="19" t="s">
        <v>72</v>
      </c>
      <c r="C16" s="89">
        <f>40*4</f>
        <v>160</v>
      </c>
      <c r="D16" s="87">
        <v>15</v>
      </c>
      <c r="E16" s="75">
        <f>C16*D16</f>
        <v>2400</v>
      </c>
      <c r="F16" s="103">
        <v>15</v>
      </c>
      <c r="G16" s="75">
        <f t="shared" si="1"/>
        <v>160</v>
      </c>
    </row>
    <row r="17" spans="1:7" ht="15.75" thickBot="1" x14ac:dyDescent="0.3">
      <c r="A17" s="17" t="s">
        <v>7</v>
      </c>
      <c r="B17" s="19" t="s">
        <v>57</v>
      </c>
      <c r="C17" s="103">
        <v>1</v>
      </c>
      <c r="D17" s="98">
        <v>11250</v>
      </c>
      <c r="E17" s="75">
        <f t="shared" si="0"/>
        <v>11250</v>
      </c>
      <c r="F17" s="89">
        <v>15</v>
      </c>
      <c r="G17" s="75">
        <f t="shared" si="1"/>
        <v>750</v>
      </c>
    </row>
    <row r="18" spans="1:7" ht="15.75" thickBot="1" x14ac:dyDescent="0.3">
      <c r="A18" s="17" t="s">
        <v>84</v>
      </c>
      <c r="B18" s="19" t="s">
        <v>57</v>
      </c>
      <c r="C18" s="94">
        <v>1</v>
      </c>
      <c r="D18" s="97">
        <v>1000</v>
      </c>
      <c r="E18" s="75">
        <f t="shared" si="0"/>
        <v>1000</v>
      </c>
      <c r="F18" s="103">
        <v>15</v>
      </c>
      <c r="G18" s="75">
        <f t="shared" si="1"/>
        <v>66.666666666666671</v>
      </c>
    </row>
    <row r="19" spans="1:7" ht="15.75" thickBot="1" x14ac:dyDescent="0.3">
      <c r="A19" s="17" t="s">
        <v>85</v>
      </c>
      <c r="B19" s="19" t="s">
        <v>57</v>
      </c>
      <c r="C19" s="89">
        <v>1</v>
      </c>
      <c r="D19" s="87">
        <v>150</v>
      </c>
      <c r="E19" s="75">
        <f t="shared" si="0"/>
        <v>150</v>
      </c>
      <c r="F19" s="89">
        <v>10</v>
      </c>
      <c r="G19" s="75">
        <f t="shared" si="1"/>
        <v>15</v>
      </c>
    </row>
    <row r="20" spans="1:7" ht="15.75" thickBot="1" x14ac:dyDescent="0.3">
      <c r="A20" s="17" t="s">
        <v>65</v>
      </c>
      <c r="B20" s="19" t="s">
        <v>57</v>
      </c>
      <c r="C20" s="95">
        <v>1</v>
      </c>
      <c r="D20" s="99">
        <v>15000</v>
      </c>
      <c r="E20" s="75">
        <f t="shared" si="0"/>
        <v>15000</v>
      </c>
      <c r="F20" s="103">
        <v>15</v>
      </c>
      <c r="G20" s="75">
        <f t="shared" si="1"/>
        <v>1000</v>
      </c>
    </row>
    <row r="21" spans="1:7" ht="15.75" thickBot="1" x14ac:dyDescent="0.3">
      <c r="A21" s="17" t="s">
        <v>100</v>
      </c>
      <c r="B21" s="19" t="s">
        <v>57</v>
      </c>
      <c r="C21" s="95">
        <v>0</v>
      </c>
      <c r="D21" s="99">
        <v>35000</v>
      </c>
      <c r="E21" s="75">
        <f t="shared" si="0"/>
        <v>0</v>
      </c>
      <c r="F21" s="89">
        <v>15</v>
      </c>
      <c r="G21" s="75">
        <f t="shared" si="1"/>
        <v>0</v>
      </c>
    </row>
    <row r="22" spans="1:7" ht="15.75" thickBot="1" x14ac:dyDescent="0.3">
      <c r="A22" s="17" t="s">
        <v>8</v>
      </c>
      <c r="B22" s="19" t="s">
        <v>57</v>
      </c>
      <c r="C22" s="95">
        <v>0</v>
      </c>
      <c r="D22" s="99">
        <v>600</v>
      </c>
      <c r="E22" s="75">
        <f t="shared" si="0"/>
        <v>0</v>
      </c>
      <c r="F22" s="89">
        <v>15</v>
      </c>
      <c r="G22" s="75">
        <f t="shared" si="1"/>
        <v>0</v>
      </c>
    </row>
    <row r="23" spans="1:7" x14ac:dyDescent="0.25">
      <c r="A23" s="85" t="s">
        <v>51</v>
      </c>
      <c r="B23" s="86"/>
      <c r="C23" s="102"/>
      <c r="D23" s="107"/>
      <c r="E23" s="108">
        <f>SUM(E2:E22)</f>
        <v>198909</v>
      </c>
      <c r="F23" s="102"/>
      <c r="G23" s="108">
        <f>SUM(G2:G22)</f>
        <v>20250.666666666668</v>
      </c>
    </row>
    <row r="24" spans="1:7" x14ac:dyDescent="0.25">
      <c r="A24" s="17"/>
      <c r="B24" s="17"/>
      <c r="C24" s="17"/>
      <c r="D24" s="17"/>
      <c r="E24" s="17"/>
      <c r="F24" s="17"/>
      <c r="G24" s="17"/>
    </row>
    <row r="25" spans="1:7" ht="19.5" thickBot="1" x14ac:dyDescent="0.35">
      <c r="A25" s="28" t="s">
        <v>45</v>
      </c>
      <c r="B25" s="28" t="s">
        <v>3</v>
      </c>
      <c r="C25" s="34" t="s">
        <v>0</v>
      </c>
      <c r="D25" s="17"/>
      <c r="E25" s="17"/>
      <c r="F25" s="17"/>
      <c r="G25" s="17"/>
    </row>
    <row r="26" spans="1:7" ht="15.75" thickBot="1" x14ac:dyDescent="0.3">
      <c r="A26" s="17" t="s">
        <v>46</v>
      </c>
      <c r="B26" s="17" t="s">
        <v>18</v>
      </c>
      <c r="C26" s="100">
        <v>1</v>
      </c>
      <c r="D26" s="17"/>
      <c r="E26" s="17"/>
      <c r="F26" s="17"/>
      <c r="G26" s="17"/>
    </row>
    <row r="27" spans="1:7" ht="15.75" thickBot="1" x14ac:dyDescent="0.3">
      <c r="A27" s="17" t="s">
        <v>47</v>
      </c>
      <c r="B27" s="17" t="s">
        <v>21</v>
      </c>
      <c r="C27" s="1">
        <f>C26*E23</f>
        <v>198909</v>
      </c>
      <c r="D27" s="17"/>
      <c r="E27" s="17"/>
      <c r="F27" s="17"/>
      <c r="G27" s="17"/>
    </row>
    <row r="28" spans="1:7" ht="15.75" thickBot="1" x14ac:dyDescent="0.3">
      <c r="A28" s="17" t="s">
        <v>48</v>
      </c>
      <c r="B28" s="17" t="s">
        <v>29</v>
      </c>
      <c r="C28" s="22">
        <v>10</v>
      </c>
      <c r="D28" s="17"/>
      <c r="E28" s="17"/>
      <c r="F28" s="17"/>
      <c r="G28" s="17"/>
    </row>
    <row r="29" spans="1:7" ht="15.75" thickBot="1" x14ac:dyDescent="0.3">
      <c r="A29" s="17" t="s">
        <v>49</v>
      </c>
      <c r="B29" s="17" t="s">
        <v>18</v>
      </c>
      <c r="C29" s="101">
        <v>6.5000000000000002E-2</v>
      </c>
      <c r="D29" s="17"/>
      <c r="E29" s="17"/>
      <c r="F29" s="17"/>
      <c r="G29" s="17"/>
    </row>
    <row r="30" spans="1:7" x14ac:dyDescent="0.25">
      <c r="A30" s="17" t="s">
        <v>28</v>
      </c>
      <c r="B30" s="17" t="s">
        <v>50</v>
      </c>
      <c r="C30" s="62">
        <f>C27/2*C29</f>
        <v>6464.5425000000005</v>
      </c>
      <c r="D30" s="17"/>
      <c r="E30" s="17"/>
      <c r="F30" s="17"/>
      <c r="G30" s="17"/>
    </row>
    <row r="31" spans="1:7" x14ac:dyDescent="0.25">
      <c r="A31" s="17"/>
      <c r="B31" s="17"/>
      <c r="C31" s="17"/>
      <c r="D31" s="17"/>
      <c r="E31" s="17"/>
      <c r="F31" s="17"/>
      <c r="G31" s="17"/>
    </row>
    <row r="32" spans="1:7" x14ac:dyDescent="0.25">
      <c r="A32" s="17"/>
      <c r="B32" s="17"/>
      <c r="C32" s="17"/>
      <c r="D32" s="17"/>
      <c r="E32" s="17"/>
      <c r="F32" s="17"/>
      <c r="G32" s="17"/>
    </row>
    <row r="34" spans="1:1" x14ac:dyDescent="0.25">
      <c r="A34" s="4"/>
    </row>
  </sheetData>
  <sheetProtection algorithmName="SHA-512" hashValue="GGb5Q8DsOTtRMc05Q7ltH6ayYRnul/5RaisKkqKyCh9xMp4NZjO6UZB6Yxgrus4z66Je5OiMhvZymgDfbT958w==" saltValue="MzIO9+MLGE7eaRGIbwc3gw==" spinCount="100000" sheet="1" objects="1" scenarios="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190D1-706B-4E59-85F2-9E16BE0BA356}">
  <dimension ref="B1:N48"/>
  <sheetViews>
    <sheetView zoomScaleNormal="100" workbookViewId="0"/>
  </sheetViews>
  <sheetFormatPr defaultColWidth="8.85546875" defaultRowHeight="15" x14ac:dyDescent="0.25"/>
  <cols>
    <col min="3" max="3" width="11" customWidth="1"/>
    <col min="4" max="14" width="12.28515625" customWidth="1"/>
  </cols>
  <sheetData>
    <row r="1" spans="2:14" ht="38.450000000000003" customHeight="1" x14ac:dyDescent="0.25">
      <c r="B1" s="125" t="s">
        <v>104</v>
      </c>
      <c r="C1" s="126"/>
      <c r="D1" s="126"/>
      <c r="E1" s="126"/>
      <c r="F1" s="126"/>
      <c r="G1" s="126"/>
      <c r="H1" s="126"/>
      <c r="I1" s="126"/>
      <c r="J1" s="126"/>
      <c r="K1" s="126"/>
      <c r="L1" s="126"/>
      <c r="M1" s="126"/>
      <c r="N1" s="127"/>
    </row>
    <row r="3" spans="2:14" ht="18.75" x14ac:dyDescent="0.3">
      <c r="B3" s="128" t="s">
        <v>70</v>
      </c>
      <c r="C3" s="129"/>
      <c r="D3" s="129"/>
      <c r="E3" s="129"/>
      <c r="F3" s="129"/>
      <c r="G3" s="129"/>
      <c r="H3" s="129"/>
      <c r="I3" s="129"/>
      <c r="J3" s="129"/>
      <c r="K3" s="129"/>
      <c r="L3" s="129"/>
      <c r="M3" s="129"/>
      <c r="N3" s="129"/>
    </row>
    <row r="5" spans="2:14" ht="18.75" x14ac:dyDescent="0.3">
      <c r="B5" s="5"/>
      <c r="C5" s="5"/>
      <c r="D5" s="130" t="s">
        <v>68</v>
      </c>
      <c r="E5" s="130"/>
      <c r="F5" s="130"/>
      <c r="G5" s="130"/>
      <c r="H5" s="130"/>
      <c r="I5" s="130"/>
      <c r="J5" s="130"/>
      <c r="K5" s="130"/>
      <c r="L5" s="130"/>
      <c r="M5" s="130"/>
      <c r="N5" s="130"/>
    </row>
    <row r="6" spans="2:14" x14ac:dyDescent="0.25">
      <c r="B6" s="131" t="s">
        <v>69</v>
      </c>
      <c r="C6" s="6"/>
      <c r="D6" s="7">
        <f t="shared" ref="D6:I6" si="0">E6-5</f>
        <v>45</v>
      </c>
      <c r="E6" s="7">
        <f t="shared" si="0"/>
        <v>50</v>
      </c>
      <c r="F6" s="7">
        <f t="shared" si="0"/>
        <v>55</v>
      </c>
      <c r="G6" s="7">
        <f t="shared" si="0"/>
        <v>60</v>
      </c>
      <c r="H6" s="7">
        <f t="shared" si="0"/>
        <v>65</v>
      </c>
      <c r="I6" s="7">
        <f t="shared" si="0"/>
        <v>70</v>
      </c>
      <c r="J6" s="7">
        <f>Survival</f>
        <v>75</v>
      </c>
      <c r="K6" s="7">
        <f t="shared" ref="K6:N6" si="1">J6+5</f>
        <v>80</v>
      </c>
      <c r="L6" s="7">
        <f t="shared" si="1"/>
        <v>85</v>
      </c>
      <c r="M6" s="7">
        <f t="shared" si="1"/>
        <v>90</v>
      </c>
      <c r="N6" s="7">
        <f t="shared" si="1"/>
        <v>95</v>
      </c>
    </row>
    <row r="7" spans="2:14" x14ac:dyDescent="0.25">
      <c r="B7" s="131"/>
      <c r="C7" s="8">
        <f>ROUND(C8-C8*0.05,2)</f>
        <v>0.35</v>
      </c>
      <c r="D7" s="12">
        <f>(Oyster_seed_planted*('Sensitivity_Price and Survival'!D$6/100)*'Sensitivity_Price and Survival'!$C7-TOTAL_COSTS)/(Oyster_seed_planted*('Sensitivity_Price and Survival'!D$6/100))</f>
        <v>-0.47019630340740737</v>
      </c>
      <c r="E7" s="12">
        <f>(Oyster_seed_planted*('Sensitivity_Price and Survival'!E$6/100)*'Sensitivity_Price and Survival'!$C7-TOTAL_COSTS)/(Oyster_seed_planted*('Sensitivity_Price and Survival'!E$6/100))</f>
        <v>-0.38817667306666664</v>
      </c>
      <c r="F7" s="12">
        <f>(Oyster_seed_planted*('Sensitivity_Price and Survival'!F$6/100)*'Sensitivity_Price and Survival'!$C7-TOTAL_COSTS)/(Oyster_seed_planted*('Sensitivity_Price and Survival'!F$6/100))</f>
        <v>-0.32106970278787877</v>
      </c>
      <c r="G7" s="12">
        <f>(Oyster_seed_planted*('Sensitivity_Price and Survival'!G$6/100)*'Sensitivity_Price and Survival'!$C7-TOTAL_COSTS)/(Oyster_seed_planted*('Sensitivity_Price and Survival'!G$6/100))</f>
        <v>-0.26514722755555553</v>
      </c>
      <c r="H7" s="12">
        <f>(Oyster_seed_planted*('Sensitivity_Price and Survival'!H$6/100)*'Sensitivity_Price and Survival'!$C7-TOTAL_COSTS)/(Oyster_seed_planted*('Sensitivity_Price and Survival'!H$6/100))</f>
        <v>-0.21782821005128203</v>
      </c>
      <c r="I7" s="12">
        <f>(Oyster_seed_planted*('Sensitivity_Price and Survival'!I$6/100)*'Sensitivity_Price and Survival'!$C7-TOTAL_COSTS)/(Oyster_seed_planted*('Sensitivity_Price and Survival'!I$6/100))</f>
        <v>-0.17726905219047617</v>
      </c>
      <c r="J7" s="12">
        <f>(Oyster_seed_planted*('Sensitivity_Price and Survival'!J$6/100)*'Sensitivity_Price and Survival'!$C7-TOTAL_COSTS)/(Oyster_seed_planted*('Sensitivity_Price and Survival'!J$6/100))</f>
        <v>-0.14211778204444442</v>
      </c>
      <c r="K7" s="12">
        <f>(Oyster_seed_planted*('Sensitivity_Price and Survival'!K$6/100)*'Sensitivity_Price and Survival'!$C7-TOTAL_COSTS)/(Oyster_seed_planted*('Sensitivity_Price and Survival'!K$6/100))</f>
        <v>-0.11136042066666664</v>
      </c>
      <c r="L7" s="12">
        <f>(Oyster_seed_planted*('Sensitivity_Price and Survival'!L$6/100)*'Sensitivity_Price and Survival'!$C7-TOTAL_COSTS)/(Oyster_seed_planted*('Sensitivity_Price and Survival'!L$6/100))</f>
        <v>-8.4221572392156843E-2</v>
      </c>
      <c r="M7" s="12">
        <f>(Oyster_seed_planted*('Sensitivity_Price and Survival'!M$6/100)*'Sensitivity_Price and Survival'!$C7-TOTAL_COSTS)/(Oyster_seed_planted*('Sensitivity_Price and Survival'!M$6/100))</f>
        <v>-6.0098151703703681E-2</v>
      </c>
      <c r="N7" s="12">
        <f>(Oyster_seed_planted*('Sensitivity_Price and Survival'!N$6/100)*'Sensitivity_Price and Survival'!$C7-TOTAL_COSTS)/(Oyster_seed_planted*('Sensitivity_Price and Survival'!N$6/100))</f>
        <v>-3.8514038456140334E-2</v>
      </c>
    </row>
    <row r="8" spans="2:14" x14ac:dyDescent="0.25">
      <c r="B8" s="131"/>
      <c r="C8" s="8">
        <f>ROUND(C9-C9*0.05,2)</f>
        <v>0.37</v>
      </c>
      <c r="D8" s="12">
        <f>(Oyster_seed_planted*('Sensitivity_Price and Survival'!D$6/100)*'Sensitivity_Price and Survival'!$C8-TOTAL_COSTS)/(Oyster_seed_planted*('Sensitivity_Price and Survival'!D$6/100))</f>
        <v>-0.45019630340740735</v>
      </c>
      <c r="E8" s="12">
        <f>(Oyster_seed_planted*('Sensitivity_Price and Survival'!E$6/100)*'Sensitivity_Price and Survival'!$C8-TOTAL_COSTS)/(Oyster_seed_planted*('Sensitivity_Price and Survival'!E$6/100))</f>
        <v>-0.36817667306666663</v>
      </c>
      <c r="F8" s="12">
        <f>(Oyster_seed_planted*('Sensitivity_Price and Survival'!F$6/100)*'Sensitivity_Price and Survival'!$C8-TOTAL_COSTS)/(Oyster_seed_planted*('Sensitivity_Price and Survival'!F$6/100))</f>
        <v>-0.30106970278787876</v>
      </c>
      <c r="G8" s="12">
        <f>(Oyster_seed_planted*('Sensitivity_Price and Survival'!G$6/100)*'Sensitivity_Price and Survival'!$C8-TOTAL_COSTS)/(Oyster_seed_planted*('Sensitivity_Price and Survival'!G$6/100))</f>
        <v>-0.24514722755555551</v>
      </c>
      <c r="H8" s="12">
        <f>(Oyster_seed_planted*('Sensitivity_Price and Survival'!H$6/100)*'Sensitivity_Price and Survival'!$C8-TOTAL_COSTS)/(Oyster_seed_planted*('Sensitivity_Price and Survival'!H$6/100))</f>
        <v>-0.19782821005128201</v>
      </c>
      <c r="I8" s="12">
        <f>(Oyster_seed_planted*('Sensitivity_Price and Survival'!I$6/100)*'Sensitivity_Price and Survival'!$C8-TOTAL_COSTS)/(Oyster_seed_planted*('Sensitivity_Price and Survival'!I$6/100))</f>
        <v>-0.15726905219047616</v>
      </c>
      <c r="J8" s="12">
        <f>(Oyster_seed_planted*('Sensitivity_Price and Survival'!J$6/100)*'Sensitivity_Price and Survival'!$C8-TOTAL_COSTS)/(Oyster_seed_planted*('Sensitivity_Price and Survival'!J$6/100))</f>
        <v>-0.12211778204444441</v>
      </c>
      <c r="K8" s="12">
        <f>(Oyster_seed_planted*('Sensitivity_Price and Survival'!K$6/100)*'Sensitivity_Price and Survival'!$C8-TOTAL_COSTS)/(Oyster_seed_planted*('Sensitivity_Price and Survival'!K$6/100))</f>
        <v>-9.1360420666666636E-2</v>
      </c>
      <c r="L8" s="12">
        <f>(Oyster_seed_planted*('Sensitivity_Price and Survival'!L$6/100)*'Sensitivity_Price and Survival'!$C8-TOTAL_COSTS)/(Oyster_seed_planted*('Sensitivity_Price and Survival'!L$6/100))</f>
        <v>-6.4221572392156839E-2</v>
      </c>
      <c r="M8" s="12">
        <f>(Oyster_seed_planted*('Sensitivity_Price and Survival'!M$6/100)*'Sensitivity_Price and Survival'!$C8-TOTAL_COSTS)/(Oyster_seed_planted*('Sensitivity_Price and Survival'!M$6/100))</f>
        <v>-4.0098151703703684E-2</v>
      </c>
      <c r="N8" s="12">
        <f>(Oyster_seed_planted*('Sensitivity_Price and Survival'!N$6/100)*'Sensitivity_Price and Survival'!$C8-TOTAL_COSTS)/(Oyster_seed_planted*('Sensitivity_Price and Survival'!N$6/100))</f>
        <v>-1.851403845614033E-2</v>
      </c>
    </row>
    <row r="9" spans="2:14" x14ac:dyDescent="0.25">
      <c r="B9" s="131"/>
      <c r="C9" s="8">
        <f t="shared" ref="C9:C15" si="2">ROUND(C10-C10*0.05,2)</f>
        <v>0.39</v>
      </c>
      <c r="D9" s="12">
        <f>(Oyster_seed_planted*('Sensitivity_Price and Survival'!D$6/100)*'Sensitivity_Price and Survival'!$C9-TOTAL_COSTS)/(Oyster_seed_planted*('Sensitivity_Price and Survival'!D$6/100))</f>
        <v>-0.43019630340740739</v>
      </c>
      <c r="E9" s="12">
        <f>(Oyster_seed_planted*('Sensitivity_Price and Survival'!E$6/100)*'Sensitivity_Price and Survival'!$C9-TOTAL_COSTS)/(Oyster_seed_planted*('Sensitivity_Price and Survival'!E$6/100))</f>
        <v>-0.34817667306666661</v>
      </c>
      <c r="F9" s="12">
        <f>(Oyster_seed_planted*('Sensitivity_Price and Survival'!F$6/100)*'Sensitivity_Price and Survival'!$C9-TOTAL_COSTS)/(Oyster_seed_planted*('Sensitivity_Price and Survival'!F$6/100))</f>
        <v>-0.28106970278787874</v>
      </c>
      <c r="G9" s="12">
        <f>(Oyster_seed_planted*('Sensitivity_Price and Survival'!G$6/100)*'Sensitivity_Price and Survival'!$C9-TOTAL_COSTS)/(Oyster_seed_planted*('Sensitivity_Price and Survival'!G$6/100))</f>
        <v>-0.22514722755555552</v>
      </c>
      <c r="H9" s="12">
        <f>(Oyster_seed_planted*('Sensitivity_Price and Survival'!H$6/100)*'Sensitivity_Price and Survival'!$C9-TOTAL_COSTS)/(Oyster_seed_planted*('Sensitivity_Price and Survival'!H$6/100))</f>
        <v>-0.17782821005128202</v>
      </c>
      <c r="I9" s="12">
        <f>(Oyster_seed_planted*('Sensitivity_Price and Survival'!I$6/100)*'Sensitivity_Price and Survival'!$C9-TOTAL_COSTS)/(Oyster_seed_planted*('Sensitivity_Price and Survival'!I$6/100))</f>
        <v>-0.13726905219047617</v>
      </c>
      <c r="J9" s="12">
        <f>(Oyster_seed_planted*('Sensitivity_Price and Survival'!J$6/100)*'Sensitivity_Price and Survival'!$C9-TOTAL_COSTS)/(Oyster_seed_planted*('Sensitivity_Price and Survival'!J$6/100))</f>
        <v>-0.10211778204444442</v>
      </c>
      <c r="K9" s="12">
        <f>(Oyster_seed_planted*('Sensitivity_Price and Survival'!K$6/100)*'Sensitivity_Price and Survival'!$C9-TOTAL_COSTS)/(Oyster_seed_planted*('Sensitivity_Price and Survival'!K$6/100))</f>
        <v>-7.1360420666666646E-2</v>
      </c>
      <c r="L9" s="12">
        <f>(Oyster_seed_planted*('Sensitivity_Price and Survival'!L$6/100)*'Sensitivity_Price and Survival'!$C9-TOTAL_COSTS)/(Oyster_seed_planted*('Sensitivity_Price and Survival'!L$6/100))</f>
        <v>-4.4221572392156842E-2</v>
      </c>
      <c r="M9" s="12">
        <f>(Oyster_seed_planted*('Sensitivity_Price and Survival'!M$6/100)*'Sensitivity_Price and Survival'!$C9-TOTAL_COSTS)/(Oyster_seed_planted*('Sensitivity_Price and Survival'!M$6/100))</f>
        <v>-2.0098151703703684E-2</v>
      </c>
      <c r="N9" s="12">
        <f>(Oyster_seed_planted*('Sensitivity_Price and Survival'!N$6/100)*'Sensitivity_Price and Survival'!$C9-TOTAL_COSTS)/(Oyster_seed_planted*('Sensitivity_Price and Survival'!N$6/100))</f>
        <v>1.4859615438596689E-3</v>
      </c>
    </row>
    <row r="10" spans="2:14" x14ac:dyDescent="0.25">
      <c r="B10" s="131"/>
      <c r="C10" s="8">
        <f t="shared" si="2"/>
        <v>0.41</v>
      </c>
      <c r="D10" s="12">
        <f>(Oyster_seed_planted*('Sensitivity_Price and Survival'!D$6/100)*'Sensitivity_Price and Survival'!$C10-TOTAL_COSTS)/(Oyster_seed_planted*('Sensitivity_Price and Survival'!D$6/100))</f>
        <v>-0.41019630340740737</v>
      </c>
      <c r="E10" s="12">
        <f>(Oyster_seed_planted*('Sensitivity_Price and Survival'!E$6/100)*'Sensitivity_Price and Survival'!$C10-TOTAL_COSTS)/(Oyster_seed_planted*('Sensitivity_Price and Survival'!E$6/100))</f>
        <v>-0.3281766730666667</v>
      </c>
      <c r="F10" s="12">
        <f>(Oyster_seed_planted*('Sensitivity_Price and Survival'!F$6/100)*'Sensitivity_Price and Survival'!$C10-TOTAL_COSTS)/(Oyster_seed_planted*('Sensitivity_Price and Survival'!F$6/100))</f>
        <v>-0.26106970278787878</v>
      </c>
      <c r="G10" s="12">
        <f>(Oyster_seed_planted*('Sensitivity_Price and Survival'!G$6/100)*'Sensitivity_Price and Survival'!$C10-TOTAL_COSTS)/(Oyster_seed_planted*('Sensitivity_Price and Survival'!G$6/100))</f>
        <v>-0.20514722755555553</v>
      </c>
      <c r="H10" s="12">
        <f>(Oyster_seed_planted*('Sensitivity_Price and Survival'!H$6/100)*'Sensitivity_Price and Survival'!$C10-TOTAL_COSTS)/(Oyster_seed_planted*('Sensitivity_Price and Survival'!H$6/100))</f>
        <v>-0.15782821005128203</v>
      </c>
      <c r="I10" s="12">
        <f>(Oyster_seed_planted*('Sensitivity_Price and Survival'!I$6/100)*'Sensitivity_Price and Survival'!$C10-TOTAL_COSTS)/(Oyster_seed_planted*('Sensitivity_Price and Survival'!I$6/100))</f>
        <v>-0.11726905219047616</v>
      </c>
      <c r="J10" s="12">
        <f>(Oyster_seed_planted*('Sensitivity_Price and Survival'!J$6/100)*'Sensitivity_Price and Survival'!$C10-TOTAL_COSTS)/(Oyster_seed_planted*('Sensitivity_Price and Survival'!J$6/100))</f>
        <v>-8.2117782044444421E-2</v>
      </c>
      <c r="K10" s="12">
        <f>(Oyster_seed_planted*('Sensitivity_Price and Survival'!K$6/100)*'Sensitivity_Price and Survival'!$C10-TOTAL_COSTS)/(Oyster_seed_planted*('Sensitivity_Price and Survival'!K$6/100))</f>
        <v>-5.1360420666666642E-2</v>
      </c>
      <c r="L10" s="12">
        <f>(Oyster_seed_planted*('Sensitivity_Price and Survival'!L$6/100)*'Sensitivity_Price and Survival'!$C10-TOTAL_COSTS)/(Oyster_seed_planted*('Sensitivity_Price and Survival'!L$6/100))</f>
        <v>-2.4221572392156842E-2</v>
      </c>
      <c r="M10" s="12">
        <f>(Oyster_seed_planted*('Sensitivity_Price and Survival'!M$6/100)*'Sensitivity_Price and Survival'!$C10-TOTAL_COSTS)/(Oyster_seed_planted*('Sensitivity_Price and Survival'!M$6/100))</f>
        <v>-9.8151703703682866E-5</v>
      </c>
      <c r="N10" s="12">
        <f>(Oyster_seed_planted*('Sensitivity_Price and Survival'!N$6/100)*'Sensitivity_Price and Survival'!$C10-TOTAL_COSTS)/(Oyster_seed_planted*('Sensitivity_Price and Survival'!N$6/100))</f>
        <v>2.148596154385967E-2</v>
      </c>
    </row>
    <row r="11" spans="2:14" x14ac:dyDescent="0.25">
      <c r="B11" s="131"/>
      <c r="C11" s="8">
        <f t="shared" si="2"/>
        <v>0.43</v>
      </c>
      <c r="D11" s="12">
        <f>(Oyster_seed_planted*('Sensitivity_Price and Survival'!D$6/100)*'Sensitivity_Price and Survival'!$C11-TOTAL_COSTS)/(Oyster_seed_planted*('Sensitivity_Price and Survival'!D$6/100))</f>
        <v>-0.39019630340740735</v>
      </c>
      <c r="E11" s="12">
        <f>(Oyster_seed_planted*('Sensitivity_Price and Survival'!E$6/100)*'Sensitivity_Price and Survival'!$C11-TOTAL_COSTS)/(Oyster_seed_planted*('Sensitivity_Price and Survival'!E$6/100))</f>
        <v>-0.30817667306666663</v>
      </c>
      <c r="F11" s="12">
        <f>(Oyster_seed_planted*('Sensitivity_Price and Survival'!F$6/100)*'Sensitivity_Price and Survival'!$C11-TOTAL_COSTS)/(Oyster_seed_planted*('Sensitivity_Price and Survival'!F$6/100))</f>
        <v>-0.24106970278787876</v>
      </c>
      <c r="G11" s="12">
        <f>(Oyster_seed_planted*('Sensitivity_Price and Survival'!G$6/100)*'Sensitivity_Price and Survival'!$C11-TOTAL_COSTS)/(Oyster_seed_planted*('Sensitivity_Price and Survival'!G$6/100))</f>
        <v>-0.18514722755555552</v>
      </c>
      <c r="H11" s="12">
        <f>(Oyster_seed_planted*('Sensitivity_Price and Survival'!H$6/100)*'Sensitivity_Price and Survival'!$C11-TOTAL_COSTS)/(Oyster_seed_planted*('Sensitivity_Price and Survival'!H$6/100))</f>
        <v>-0.13782821005128201</v>
      </c>
      <c r="I11" s="12">
        <f>(Oyster_seed_planted*('Sensitivity_Price and Survival'!I$6/100)*'Sensitivity_Price and Survival'!$C11-TOTAL_COSTS)/(Oyster_seed_planted*('Sensitivity_Price and Survival'!I$6/100))</f>
        <v>-9.7269052190476157E-2</v>
      </c>
      <c r="J11" s="12">
        <f>(Oyster_seed_planted*('Sensitivity_Price and Survival'!J$6/100)*'Sensitivity_Price and Survival'!$C11-TOTAL_COSTS)/(Oyster_seed_planted*('Sensitivity_Price and Survival'!J$6/100))</f>
        <v>-6.2117782044444417E-2</v>
      </c>
      <c r="K11" s="12">
        <f>(Oyster_seed_planted*('Sensitivity_Price and Survival'!K$6/100)*'Sensitivity_Price and Survival'!$C11-TOTAL_COSTS)/(Oyster_seed_planted*('Sensitivity_Price and Survival'!K$6/100))</f>
        <v>-3.1360420666666645E-2</v>
      </c>
      <c r="L11" s="12">
        <f>(Oyster_seed_planted*('Sensitivity_Price and Survival'!L$6/100)*'Sensitivity_Price and Survival'!$C11-TOTAL_COSTS)/(Oyster_seed_planted*('Sensitivity_Price and Survival'!L$6/100))</f>
        <v>-4.2215723921568407E-3</v>
      </c>
      <c r="M11" s="12">
        <f>(Oyster_seed_planted*('Sensitivity_Price and Survival'!M$6/100)*'Sensitivity_Price and Survival'!$C11-TOTAL_COSTS)/(Oyster_seed_planted*('Sensitivity_Price and Survival'!M$6/100))</f>
        <v>1.9901848296296317E-2</v>
      </c>
      <c r="N11" s="12">
        <f>(Oyster_seed_planted*('Sensitivity_Price and Survival'!N$6/100)*'Sensitivity_Price and Survival'!$C11-TOTAL_COSTS)/(Oyster_seed_planted*('Sensitivity_Price and Survival'!N$6/100))</f>
        <v>4.1485961543859667E-2</v>
      </c>
    </row>
    <row r="12" spans="2:14" x14ac:dyDescent="0.25">
      <c r="B12" s="131"/>
      <c r="C12" s="8">
        <f t="shared" si="2"/>
        <v>0.45</v>
      </c>
      <c r="D12" s="12">
        <f>(Oyster_seed_planted*('Sensitivity_Price and Survival'!D$6/100)*'Sensitivity_Price and Survival'!$C12-TOTAL_COSTS)/(Oyster_seed_planted*('Sensitivity_Price and Survival'!D$6/100))</f>
        <v>-0.37019630340740739</v>
      </c>
      <c r="E12" s="12">
        <f>(Oyster_seed_planted*('Sensitivity_Price and Survival'!E$6/100)*'Sensitivity_Price and Survival'!$C12-TOTAL_COSTS)/(Oyster_seed_planted*('Sensitivity_Price and Survival'!E$6/100))</f>
        <v>-0.28817667306666661</v>
      </c>
      <c r="F12" s="12">
        <f>(Oyster_seed_planted*('Sensitivity_Price and Survival'!F$6/100)*'Sensitivity_Price and Survival'!$C12-TOTAL_COSTS)/(Oyster_seed_planted*('Sensitivity_Price and Survival'!F$6/100))</f>
        <v>-0.22106970278787874</v>
      </c>
      <c r="G12" s="12">
        <f>(Oyster_seed_planted*('Sensitivity_Price and Survival'!G$6/100)*'Sensitivity_Price and Survival'!$C12-TOTAL_COSTS)/(Oyster_seed_planted*('Sensitivity_Price and Survival'!G$6/100))</f>
        <v>-0.16514722755555553</v>
      </c>
      <c r="H12" s="12">
        <f>(Oyster_seed_planted*('Sensitivity_Price and Survival'!H$6/100)*'Sensitivity_Price and Survival'!$C12-TOTAL_COSTS)/(Oyster_seed_planted*('Sensitivity_Price and Survival'!H$6/100))</f>
        <v>-0.11782821005128202</v>
      </c>
      <c r="I12" s="12">
        <f>(Oyster_seed_planted*('Sensitivity_Price and Survival'!I$6/100)*'Sensitivity_Price and Survival'!$C12-TOTAL_COSTS)/(Oyster_seed_planted*('Sensitivity_Price and Survival'!I$6/100))</f>
        <v>-7.7269052190476167E-2</v>
      </c>
      <c r="J12" s="12">
        <f>(Oyster_seed_planted*('Sensitivity_Price and Survival'!J$6/100)*'Sensitivity_Price and Survival'!$C12-TOTAL_COSTS)/(Oyster_seed_planted*('Sensitivity_Price and Survival'!J$6/100))</f>
        <v>-4.211778204444442E-2</v>
      </c>
      <c r="K12" s="12">
        <f>(Oyster_seed_planted*('Sensitivity_Price and Survival'!K$6/100)*'Sensitivity_Price and Survival'!$C12-TOTAL_COSTS)/(Oyster_seed_planted*('Sensitivity_Price and Survival'!K$6/100))</f>
        <v>-1.1360420666666643E-2</v>
      </c>
      <c r="L12" s="12">
        <f>(Oyster_seed_planted*('Sensitivity_Price and Survival'!L$6/100)*'Sensitivity_Price and Survival'!$C12-TOTAL_COSTS)/(Oyster_seed_planted*('Sensitivity_Price and Survival'!L$6/100))</f>
        <v>1.5778427607843159E-2</v>
      </c>
      <c r="M12" s="12">
        <f>(Oyster_seed_planted*('Sensitivity_Price and Survival'!M$6/100)*'Sensitivity_Price and Survival'!$C12-TOTAL_COSTS)/(Oyster_seed_planted*('Sensitivity_Price and Survival'!M$6/100))</f>
        <v>3.9901848296296318E-2</v>
      </c>
      <c r="N12" s="12">
        <f>(Oyster_seed_planted*('Sensitivity_Price and Survival'!N$6/100)*'Sensitivity_Price and Survival'!$C12-TOTAL_COSTS)/(Oyster_seed_planted*('Sensitivity_Price and Survival'!N$6/100))</f>
        <v>6.1485961543859671E-2</v>
      </c>
    </row>
    <row r="13" spans="2:14" x14ac:dyDescent="0.25">
      <c r="B13" s="131"/>
      <c r="C13" s="8">
        <f t="shared" si="2"/>
        <v>0.47</v>
      </c>
      <c r="D13" s="12">
        <f>(Oyster_seed_planted*('Sensitivity_Price and Survival'!D$6/100)*'Sensitivity_Price and Survival'!$C13-TOTAL_COSTS)/(Oyster_seed_planted*('Sensitivity_Price and Survival'!D$6/100))</f>
        <v>-0.35019630340740737</v>
      </c>
      <c r="E13" s="12">
        <f>(Oyster_seed_planted*('Sensitivity_Price and Survival'!E$6/100)*'Sensitivity_Price and Survival'!$C13-TOTAL_COSTS)/(Oyster_seed_planted*('Sensitivity_Price and Survival'!E$6/100))</f>
        <v>-0.26817667306666665</v>
      </c>
      <c r="F13" s="12">
        <f>(Oyster_seed_planted*('Sensitivity_Price and Survival'!F$6/100)*'Sensitivity_Price and Survival'!$C13-TOTAL_COSTS)/(Oyster_seed_planted*('Sensitivity_Price and Survival'!F$6/100))</f>
        <v>-0.20106970278787875</v>
      </c>
      <c r="G13" s="12">
        <f>(Oyster_seed_planted*('Sensitivity_Price and Survival'!G$6/100)*'Sensitivity_Price and Survival'!$C13-TOTAL_COSTS)/(Oyster_seed_planted*('Sensitivity_Price and Survival'!G$6/100))</f>
        <v>-0.14514722755555554</v>
      </c>
      <c r="H13" s="12">
        <f>(Oyster_seed_planted*('Sensitivity_Price and Survival'!H$6/100)*'Sensitivity_Price and Survival'!$C13-TOTAL_COSTS)/(Oyster_seed_planted*('Sensitivity_Price and Survival'!H$6/100))</f>
        <v>-9.7828210051282019E-2</v>
      </c>
      <c r="I13" s="12">
        <f>(Oyster_seed_planted*('Sensitivity_Price and Survival'!I$6/100)*'Sensitivity_Price and Survival'!$C13-TOTAL_COSTS)/(Oyster_seed_planted*('Sensitivity_Price and Survival'!I$6/100))</f>
        <v>-5.7269052190476163E-2</v>
      </c>
      <c r="J13" s="12">
        <f>(Oyster_seed_planted*('Sensitivity_Price and Survival'!J$6/100)*'Sensitivity_Price and Survival'!$C13-TOTAL_COSTS)/(Oyster_seed_planted*('Sensitivity_Price and Survival'!J$6/100))</f>
        <v>-2.2117782044444419E-2</v>
      </c>
      <c r="K13" s="12">
        <f>(Oyster_seed_planted*('Sensitivity_Price and Survival'!K$6/100)*'Sensitivity_Price and Survival'!$C13-TOTAL_COSTS)/(Oyster_seed_planted*('Sensitivity_Price and Survival'!K$6/100))</f>
        <v>8.6395793333333571E-3</v>
      </c>
      <c r="L13" s="12">
        <f>(Oyster_seed_planted*('Sensitivity_Price and Survival'!L$6/100)*'Sensitivity_Price and Survival'!$C13-TOTAL_COSTS)/(Oyster_seed_planted*('Sensitivity_Price and Survival'!L$6/100))</f>
        <v>3.5778427607843159E-2</v>
      </c>
      <c r="M13" s="12">
        <f>(Oyster_seed_planted*('Sensitivity_Price and Survival'!M$6/100)*'Sensitivity_Price and Survival'!$C13-TOTAL_COSTS)/(Oyster_seed_planted*('Sensitivity_Price and Survival'!M$6/100))</f>
        <v>5.9901848296296314E-2</v>
      </c>
      <c r="N13" s="12">
        <f>(Oyster_seed_planted*('Sensitivity_Price and Survival'!N$6/100)*'Sensitivity_Price and Survival'!$C13-TOTAL_COSTS)/(Oyster_seed_planted*('Sensitivity_Price and Survival'!N$6/100))</f>
        <v>8.1485961543859675E-2</v>
      </c>
    </row>
    <row r="14" spans="2:14" x14ac:dyDescent="0.25">
      <c r="B14" s="131"/>
      <c r="C14" s="8">
        <f t="shared" si="2"/>
        <v>0.49</v>
      </c>
      <c r="D14" s="12">
        <f>(Oyster_seed_planted*('Sensitivity_Price and Survival'!D$6/100)*'Sensitivity_Price and Survival'!$C14-TOTAL_COSTS)/(Oyster_seed_planted*('Sensitivity_Price and Survival'!D$6/100))</f>
        <v>-0.33019630340740735</v>
      </c>
      <c r="E14" s="12">
        <f>(Oyster_seed_planted*('Sensitivity_Price and Survival'!E$6/100)*'Sensitivity_Price and Survival'!$C14-TOTAL_COSTS)/(Oyster_seed_planted*('Sensitivity_Price and Survival'!E$6/100))</f>
        <v>-0.24817667306666663</v>
      </c>
      <c r="F14" s="12">
        <f>(Oyster_seed_planted*('Sensitivity_Price and Survival'!F$6/100)*'Sensitivity_Price and Survival'!$C14-TOTAL_COSTS)/(Oyster_seed_planted*('Sensitivity_Price and Survival'!F$6/100))</f>
        <v>-0.18106970278787876</v>
      </c>
      <c r="G14" s="12">
        <f>(Oyster_seed_planted*('Sensitivity_Price and Survival'!G$6/100)*'Sensitivity_Price and Survival'!$C14-TOTAL_COSTS)/(Oyster_seed_planted*('Sensitivity_Price and Survival'!G$6/100))</f>
        <v>-0.12514722755555552</v>
      </c>
      <c r="H14" s="12">
        <f>(Oyster_seed_planted*('Sensitivity_Price and Survival'!H$6/100)*'Sensitivity_Price and Survival'!$C14-TOTAL_COSTS)/(Oyster_seed_planted*('Sensitivity_Price and Survival'!H$6/100))</f>
        <v>-7.7828210051282029E-2</v>
      </c>
      <c r="I14" s="12">
        <f>(Oyster_seed_planted*('Sensitivity_Price and Survival'!I$6/100)*'Sensitivity_Price and Survival'!$C14-TOTAL_COSTS)/(Oyster_seed_planted*('Sensitivity_Price and Survival'!I$6/100))</f>
        <v>-3.7269052190476167E-2</v>
      </c>
      <c r="J14" s="12">
        <f>(Oyster_seed_planted*('Sensitivity_Price and Survival'!J$6/100)*'Sensitivity_Price and Survival'!$C14-TOTAL_COSTS)/(Oyster_seed_planted*('Sensitivity_Price and Survival'!J$6/100))</f>
        <v>-2.1177820444444194E-3</v>
      </c>
      <c r="K14" s="12">
        <f>(Oyster_seed_planted*('Sensitivity_Price and Survival'!K$6/100)*'Sensitivity_Price and Survival'!$C14-TOTAL_COSTS)/(Oyster_seed_planted*('Sensitivity_Price and Survival'!K$6/100))</f>
        <v>2.8639579333333356E-2</v>
      </c>
      <c r="L14" s="12">
        <f>(Oyster_seed_planted*('Sensitivity_Price and Survival'!L$6/100)*'Sensitivity_Price and Survival'!$C14-TOTAL_COSTS)/(Oyster_seed_planted*('Sensitivity_Price and Survival'!L$6/100))</f>
        <v>5.5778427607843156E-2</v>
      </c>
      <c r="M14" s="12">
        <f>(Oyster_seed_planted*('Sensitivity_Price and Survival'!M$6/100)*'Sensitivity_Price and Survival'!$C14-TOTAL_COSTS)/(Oyster_seed_planted*('Sensitivity_Price and Survival'!M$6/100))</f>
        <v>7.9901848296296318E-2</v>
      </c>
      <c r="N14" s="12">
        <f>(Oyster_seed_planted*('Sensitivity_Price and Survival'!N$6/100)*'Sensitivity_Price and Survival'!$C14-TOTAL_COSTS)/(Oyster_seed_planted*('Sensitivity_Price and Survival'!N$6/100))</f>
        <v>0.10148596154385967</v>
      </c>
    </row>
    <row r="15" spans="2:14" x14ac:dyDescent="0.25">
      <c r="B15" s="131"/>
      <c r="C15" s="8">
        <f t="shared" si="2"/>
        <v>0.52</v>
      </c>
      <c r="D15" s="12">
        <f>(Oyster_seed_planted*('Sensitivity_Price and Survival'!D$6/100)*'Sensitivity_Price and Survival'!$C15-TOTAL_COSTS)/(Oyster_seed_planted*('Sensitivity_Price and Survival'!D$6/100))</f>
        <v>-0.30019630340740738</v>
      </c>
      <c r="E15" s="12">
        <f>(Oyster_seed_planted*('Sensitivity_Price and Survival'!E$6/100)*'Sensitivity_Price and Survival'!$C15-TOTAL_COSTS)/(Oyster_seed_planted*('Sensitivity_Price and Survival'!E$6/100))</f>
        <v>-0.21817667306666663</v>
      </c>
      <c r="F15" s="12">
        <f>(Oyster_seed_planted*('Sensitivity_Price and Survival'!F$6/100)*'Sensitivity_Price and Survival'!$C15-TOTAL_COSTS)/(Oyster_seed_planted*('Sensitivity_Price and Survival'!F$6/100))</f>
        <v>-0.15106970278787876</v>
      </c>
      <c r="G15" s="12">
        <f>(Oyster_seed_planted*('Sensitivity_Price and Survival'!G$6/100)*'Sensitivity_Price and Survival'!$C15-TOTAL_COSTS)/(Oyster_seed_planted*('Sensitivity_Price and Survival'!G$6/100))</f>
        <v>-9.5147227555555519E-2</v>
      </c>
      <c r="H15" s="12">
        <f>(Oyster_seed_planted*('Sensitivity_Price and Survival'!H$6/100)*'Sensitivity_Price and Survival'!$C15-TOTAL_COSTS)/(Oyster_seed_planted*('Sensitivity_Price and Survival'!H$6/100))</f>
        <v>-4.7828210051282023E-2</v>
      </c>
      <c r="I15" s="12">
        <f>(Oyster_seed_planted*('Sensitivity_Price and Survival'!I$6/100)*'Sensitivity_Price and Survival'!$C15-TOTAL_COSTS)/(Oyster_seed_planted*('Sensitivity_Price and Survival'!I$6/100))</f>
        <v>-7.2690521904761633E-3</v>
      </c>
      <c r="J15" s="12">
        <f>(Oyster_seed_planted*('Sensitivity_Price and Survival'!J$6/100)*'Sensitivity_Price and Survival'!$C15-TOTAL_COSTS)/(Oyster_seed_planted*('Sensitivity_Price and Survival'!J$6/100))</f>
        <v>2.788221795555558E-2</v>
      </c>
      <c r="K15" s="12">
        <f>(Oyster_seed_planted*('Sensitivity_Price and Survival'!K$6/100)*'Sensitivity_Price and Survival'!$C15-TOTAL_COSTS)/(Oyster_seed_planted*('Sensitivity_Price and Survival'!K$6/100))</f>
        <v>5.8639579333333358E-2</v>
      </c>
      <c r="L15" s="12">
        <f>(Oyster_seed_planted*('Sensitivity_Price and Survival'!L$6/100)*'Sensitivity_Price and Survival'!$C15-TOTAL_COSTS)/(Oyster_seed_planted*('Sensitivity_Price and Survival'!L$6/100))</f>
        <v>8.5778427607843155E-2</v>
      </c>
      <c r="M15" s="12">
        <f>(Oyster_seed_planted*('Sensitivity_Price and Survival'!M$6/100)*'Sensitivity_Price and Survival'!$C15-TOTAL_COSTS)/(Oyster_seed_planted*('Sensitivity_Price and Survival'!M$6/100))</f>
        <v>0.10990184829629632</v>
      </c>
      <c r="N15" s="12">
        <f>(Oyster_seed_planted*('Sensitivity_Price and Survival'!N$6/100)*'Sensitivity_Price and Survival'!$C15-TOTAL_COSTS)/(Oyster_seed_planted*('Sensitivity_Price and Survival'!N$6/100))</f>
        <v>0.13148596154385966</v>
      </c>
    </row>
    <row r="16" spans="2:14" x14ac:dyDescent="0.25">
      <c r="B16" s="131"/>
      <c r="C16" s="8">
        <f>Price</f>
        <v>0.55000000000000004</v>
      </c>
      <c r="D16" s="12">
        <f>(Oyster_seed_planted*('Sensitivity_Price and Survival'!D$6/100)*'Sensitivity_Price and Survival'!$C16-TOTAL_COSTS)/(Oyster_seed_planted*('Sensitivity_Price and Survival'!D$6/100))</f>
        <v>-0.27019630340740736</v>
      </c>
      <c r="E16" s="12">
        <f>(Oyster_seed_planted*('Sensitivity_Price and Survival'!E$6/100)*'Sensitivity_Price and Survival'!$C16-TOTAL_COSTS)/(Oyster_seed_planted*('Sensitivity_Price and Survival'!E$6/100))</f>
        <v>-0.18817667306666663</v>
      </c>
      <c r="F16" s="12">
        <f>(Oyster_seed_planted*('Sensitivity_Price and Survival'!F$6/100)*'Sensitivity_Price and Survival'!$C16-TOTAL_COSTS)/(Oyster_seed_planted*('Sensitivity_Price and Survival'!F$6/100))</f>
        <v>-0.12106970278787867</v>
      </c>
      <c r="G16" s="12">
        <f>(Oyster_seed_planted*('Sensitivity_Price and Survival'!G$6/100)*'Sensitivity_Price and Survival'!$C16-TOTAL_COSTS)/(Oyster_seed_planted*('Sensitivity_Price and Survival'!G$6/100))</f>
        <v>-6.5147227555555451E-2</v>
      </c>
      <c r="H16" s="12">
        <f>(Oyster_seed_planted*('Sensitivity_Price and Survival'!H$6/100)*'Sensitivity_Price and Survival'!$C16-TOTAL_COSTS)/(Oyster_seed_planted*('Sensitivity_Price and Survival'!H$6/100))</f>
        <v>-1.7828210051281951E-2</v>
      </c>
      <c r="I16" s="12">
        <f>(Oyster_seed_planted*('Sensitivity_Price and Survival'!I$6/100)*'Sensitivity_Price and Survival'!$C16-TOTAL_COSTS)/(Oyster_seed_planted*('Sensitivity_Price and Survival'!I$6/100))</f>
        <v>2.2730947809523904E-2</v>
      </c>
      <c r="J16" s="11">
        <f>(Oyster_seed_planted*('Sensitivity_Price and Survival'!J$6/100)*'Sensitivity_Price and Survival'!$C16-TOTAL_COSTS)/(Oyster_seed_planted*('Sensitivity_Price and Survival'!J$6/100))</f>
        <v>5.7882217955555641E-2</v>
      </c>
      <c r="K16" s="12">
        <f>(Oyster_seed_planted*('Sensitivity_Price and Survival'!K$6/100)*'Sensitivity_Price and Survival'!$C16-TOTAL_COSTS)/(Oyster_seed_planted*('Sensitivity_Price and Survival'!K$6/100))</f>
        <v>8.8639579333333357E-2</v>
      </c>
      <c r="L16" s="12">
        <f>(Oyster_seed_planted*('Sensitivity_Price and Survival'!L$6/100)*'Sensitivity_Price and Survival'!$C16-TOTAL_COSTS)/(Oyster_seed_planted*('Sensitivity_Price and Survival'!L$6/100))</f>
        <v>0.11577842760784315</v>
      </c>
      <c r="M16" s="12">
        <f>(Oyster_seed_planted*('Sensitivity_Price and Survival'!M$6/100)*'Sensitivity_Price and Survival'!$C16-TOTAL_COSTS)/(Oyster_seed_planted*('Sensitivity_Price and Survival'!M$6/100))</f>
        <v>0.13990184829629632</v>
      </c>
      <c r="N16" s="12">
        <f>(Oyster_seed_planted*('Sensitivity_Price and Survival'!N$6/100)*'Sensitivity_Price and Survival'!$C16-TOTAL_COSTS)/(Oyster_seed_planted*('Sensitivity_Price and Survival'!N$6/100))</f>
        <v>0.16148596154385966</v>
      </c>
    </row>
    <row r="17" spans="2:14" x14ac:dyDescent="0.25">
      <c r="B17" s="131"/>
      <c r="C17" s="8">
        <f>ROUND(C16+C16*0.05,2)</f>
        <v>0.57999999999999996</v>
      </c>
      <c r="D17" s="12">
        <f>(Oyster_seed_planted*('Sensitivity_Price and Survival'!D$6/100)*'Sensitivity_Price and Survival'!$C17-TOTAL_COSTS)/(Oyster_seed_planted*('Sensitivity_Price and Survival'!D$6/100))</f>
        <v>-0.24019630340740736</v>
      </c>
      <c r="E17" s="12">
        <f>(Oyster_seed_planted*('Sensitivity_Price and Survival'!E$6/100)*'Sensitivity_Price and Survival'!$C17-TOTAL_COSTS)/(Oyster_seed_planted*('Sensitivity_Price and Survival'!E$6/100))</f>
        <v>-0.15817667306666663</v>
      </c>
      <c r="F17" s="12">
        <f>(Oyster_seed_planted*('Sensitivity_Price and Survival'!F$6/100)*'Sensitivity_Price and Survival'!$C17-TOTAL_COSTS)/(Oyster_seed_planted*('Sensitivity_Price and Survival'!F$6/100))</f>
        <v>-9.1069702787878751E-2</v>
      </c>
      <c r="G17" s="12">
        <f>(Oyster_seed_planted*('Sensitivity_Price and Survival'!G$6/100)*'Sensitivity_Price and Survival'!$C17-TOTAL_COSTS)/(Oyster_seed_planted*('Sensitivity_Price and Survival'!G$6/100))</f>
        <v>-3.5147227555555605E-2</v>
      </c>
      <c r="H17" s="12">
        <f>(Oyster_seed_planted*('Sensitivity_Price and Survival'!H$6/100)*'Sensitivity_Price and Survival'!$C17-TOTAL_COSTS)/(Oyster_seed_planted*('Sensitivity_Price and Survival'!H$6/100))</f>
        <v>1.2171789948717905E-2</v>
      </c>
      <c r="I17" s="12">
        <f>(Oyster_seed_planted*('Sensitivity_Price and Survival'!I$6/100)*'Sensitivity_Price and Survival'!$C17-TOTAL_COSTS)/(Oyster_seed_planted*('Sensitivity_Price and Survival'!I$6/100))</f>
        <v>5.2730947809523768E-2</v>
      </c>
      <c r="J17" s="12">
        <f>(Oyster_seed_planted*('Sensitivity_Price and Survival'!J$6/100)*'Sensitivity_Price and Survival'!$C17-TOTAL_COSTS)/(Oyster_seed_planted*('Sensitivity_Price and Survival'!J$6/100))</f>
        <v>8.7882217955555578E-2</v>
      </c>
      <c r="K17" s="12">
        <f>(Oyster_seed_planted*('Sensitivity_Price and Survival'!K$6/100)*'Sensitivity_Price and Survival'!$C17-TOTAL_COSTS)/(Oyster_seed_planted*('Sensitivity_Price and Survival'!K$6/100))</f>
        <v>0.11863957933333336</v>
      </c>
      <c r="L17" s="12">
        <f>(Oyster_seed_planted*('Sensitivity_Price and Survival'!L$6/100)*'Sensitivity_Price and Survival'!$C17-TOTAL_COSTS)/(Oyster_seed_planted*('Sensitivity_Price and Survival'!L$6/100))</f>
        <v>0.14577842760784315</v>
      </c>
      <c r="M17" s="12">
        <f>(Oyster_seed_planted*('Sensitivity_Price and Survival'!M$6/100)*'Sensitivity_Price and Survival'!$C17-TOTAL_COSTS)/(Oyster_seed_planted*('Sensitivity_Price and Survival'!M$6/100))</f>
        <v>0.16990184829629632</v>
      </c>
      <c r="N17" s="12">
        <f>(Oyster_seed_planted*('Sensitivity_Price and Survival'!N$6/100)*'Sensitivity_Price and Survival'!$C17-TOTAL_COSTS)/(Oyster_seed_planted*('Sensitivity_Price and Survival'!N$6/100))</f>
        <v>0.19148596154385966</v>
      </c>
    </row>
    <row r="18" spans="2:14" x14ac:dyDescent="0.25">
      <c r="B18" s="131"/>
      <c r="C18" s="8">
        <f t="shared" ref="C18:C24" si="3">ROUND(C17+C17*0.05,2)</f>
        <v>0.61</v>
      </c>
      <c r="D18" s="12">
        <f>(Oyster_seed_planted*('Sensitivity_Price and Survival'!D$6/100)*'Sensitivity_Price and Survival'!$C18-TOTAL_COSTS)/(Oyster_seed_planted*('Sensitivity_Price and Survival'!D$6/100))</f>
        <v>-0.21019630340740736</v>
      </c>
      <c r="E18" s="12">
        <f>(Oyster_seed_planted*('Sensitivity_Price and Survival'!E$6/100)*'Sensitivity_Price and Survival'!$C18-TOTAL_COSTS)/(Oyster_seed_planted*('Sensitivity_Price and Survival'!E$6/100))</f>
        <v>-0.12817667306666664</v>
      </c>
      <c r="F18" s="12">
        <f>(Oyster_seed_planted*('Sensitivity_Price and Survival'!F$6/100)*'Sensitivity_Price and Survival'!$C18-TOTAL_COSTS)/(Oyster_seed_planted*('Sensitivity_Price and Survival'!F$6/100))</f>
        <v>-6.1069702787878752E-2</v>
      </c>
      <c r="G18" s="12">
        <f>(Oyster_seed_planted*('Sensitivity_Price and Survival'!G$6/100)*'Sensitivity_Price and Survival'!$C18-TOTAL_COSTS)/(Oyster_seed_planted*('Sensitivity_Price and Survival'!G$6/100))</f>
        <v>-5.1472275555555242E-3</v>
      </c>
      <c r="H18" s="12">
        <f>(Oyster_seed_planted*('Sensitivity_Price and Survival'!H$6/100)*'Sensitivity_Price and Survival'!$C18-TOTAL_COSTS)/(Oyster_seed_planted*('Sensitivity_Price and Survival'!H$6/100))</f>
        <v>4.217178994871798E-2</v>
      </c>
      <c r="I18" s="12">
        <f>(Oyster_seed_planted*('Sensitivity_Price and Survival'!I$6/100)*'Sensitivity_Price and Survival'!$C18-TOTAL_COSTS)/(Oyster_seed_planted*('Sensitivity_Price and Survival'!I$6/100))</f>
        <v>8.2730947809523836E-2</v>
      </c>
      <c r="J18" s="12">
        <f>(Oyster_seed_planted*('Sensitivity_Price and Survival'!J$6/100)*'Sensitivity_Price and Survival'!$C18-TOTAL_COSTS)/(Oyster_seed_planted*('Sensitivity_Price and Survival'!J$6/100))</f>
        <v>0.11788221795555558</v>
      </c>
      <c r="K18" s="12">
        <f>(Oyster_seed_planted*('Sensitivity_Price and Survival'!K$6/100)*'Sensitivity_Price and Survival'!$C18-TOTAL_COSTS)/(Oyster_seed_planted*('Sensitivity_Price and Survival'!K$6/100))</f>
        <v>0.14863957933333335</v>
      </c>
      <c r="L18" s="12">
        <f>(Oyster_seed_planted*('Sensitivity_Price and Survival'!L$6/100)*'Sensitivity_Price and Survival'!$C18-TOTAL_COSTS)/(Oyster_seed_planted*('Sensitivity_Price and Survival'!L$6/100))</f>
        <v>0.17577842760784315</v>
      </c>
      <c r="M18" s="12">
        <f>(Oyster_seed_planted*('Sensitivity_Price and Survival'!M$6/100)*'Sensitivity_Price and Survival'!$C18-TOTAL_COSTS)/(Oyster_seed_planted*('Sensitivity_Price and Survival'!M$6/100))</f>
        <v>0.19990184829629631</v>
      </c>
      <c r="N18" s="12">
        <f>(Oyster_seed_planted*('Sensitivity_Price and Survival'!N$6/100)*'Sensitivity_Price and Survival'!$C18-TOTAL_COSTS)/(Oyster_seed_planted*('Sensitivity_Price and Survival'!N$6/100))</f>
        <v>0.22148596154385966</v>
      </c>
    </row>
    <row r="19" spans="2:14" x14ac:dyDescent="0.25">
      <c r="B19" s="131"/>
      <c r="C19" s="8">
        <f t="shared" si="3"/>
        <v>0.64</v>
      </c>
      <c r="D19" s="12">
        <f>(Oyster_seed_planted*('Sensitivity_Price and Survival'!D$6/100)*'Sensitivity_Price and Survival'!$C19-TOTAL_COSTS)/(Oyster_seed_planted*('Sensitivity_Price and Survival'!D$6/100))</f>
        <v>-0.18019630340740736</v>
      </c>
      <c r="E19" s="12">
        <f>(Oyster_seed_planted*('Sensitivity_Price and Survival'!E$6/100)*'Sensitivity_Price and Survival'!$C19-TOTAL_COSTS)/(Oyster_seed_planted*('Sensitivity_Price and Survival'!E$6/100))</f>
        <v>-9.8176673066666623E-2</v>
      </c>
      <c r="F19" s="12">
        <f>(Oyster_seed_planted*('Sensitivity_Price and Survival'!F$6/100)*'Sensitivity_Price and Survival'!$C19-TOTAL_COSTS)/(Oyster_seed_planted*('Sensitivity_Price and Survival'!F$6/100))</f>
        <v>-3.1069702787878753E-2</v>
      </c>
      <c r="G19" s="12">
        <f>(Oyster_seed_planted*('Sensitivity_Price and Survival'!G$6/100)*'Sensitivity_Price and Survival'!$C19-TOTAL_COSTS)/(Oyster_seed_planted*('Sensitivity_Price and Survival'!G$6/100))</f>
        <v>2.4852772444444476E-2</v>
      </c>
      <c r="H19" s="12">
        <f>(Oyster_seed_planted*('Sensitivity_Price and Survival'!H$6/100)*'Sensitivity_Price and Survival'!$C19-TOTAL_COSTS)/(Oyster_seed_planted*('Sensitivity_Price and Survival'!H$6/100))</f>
        <v>7.2171789948717979E-2</v>
      </c>
      <c r="I19" s="12">
        <f>(Oyster_seed_planted*('Sensitivity_Price and Survival'!I$6/100)*'Sensitivity_Price and Survival'!$C19-TOTAL_COSTS)/(Oyster_seed_planted*('Sensitivity_Price and Survival'!I$6/100))</f>
        <v>0.11273094780952383</v>
      </c>
      <c r="J19" s="12">
        <f>(Oyster_seed_planted*('Sensitivity_Price and Survival'!J$6/100)*'Sensitivity_Price and Survival'!$C19-TOTAL_COSTS)/(Oyster_seed_planted*('Sensitivity_Price and Survival'!J$6/100))</f>
        <v>0.14788221795555559</v>
      </c>
      <c r="K19" s="12">
        <f>(Oyster_seed_planted*('Sensitivity_Price and Survival'!K$6/100)*'Sensitivity_Price and Survival'!$C19-TOTAL_COSTS)/(Oyster_seed_planted*('Sensitivity_Price and Survival'!K$6/100))</f>
        <v>0.17863957933333335</v>
      </c>
      <c r="L19" s="12">
        <f>(Oyster_seed_planted*('Sensitivity_Price and Survival'!L$6/100)*'Sensitivity_Price and Survival'!$C19-TOTAL_COSTS)/(Oyster_seed_planted*('Sensitivity_Price and Survival'!L$6/100))</f>
        <v>0.20577842760784315</v>
      </c>
      <c r="M19" s="12">
        <f>(Oyster_seed_planted*('Sensitivity_Price and Survival'!M$6/100)*'Sensitivity_Price and Survival'!$C19-TOTAL_COSTS)/(Oyster_seed_planted*('Sensitivity_Price and Survival'!M$6/100))</f>
        <v>0.22990184829629631</v>
      </c>
      <c r="N19" s="12">
        <f>(Oyster_seed_planted*('Sensitivity_Price and Survival'!N$6/100)*'Sensitivity_Price and Survival'!$C19-TOTAL_COSTS)/(Oyster_seed_planted*('Sensitivity_Price and Survival'!N$6/100))</f>
        <v>0.25148596154385966</v>
      </c>
    </row>
    <row r="20" spans="2:14" x14ac:dyDescent="0.25">
      <c r="B20" s="131"/>
      <c r="C20" s="8">
        <f t="shared" si="3"/>
        <v>0.67</v>
      </c>
      <c r="D20" s="12">
        <f>(Oyster_seed_planted*('Sensitivity_Price and Survival'!D$6/100)*'Sensitivity_Price and Survival'!$C20-TOTAL_COSTS)/(Oyster_seed_planted*('Sensitivity_Price and Survival'!D$6/100))</f>
        <v>-0.15019630340740736</v>
      </c>
      <c r="E20" s="12">
        <f>(Oyster_seed_planted*('Sensitivity_Price and Survival'!E$6/100)*'Sensitivity_Price and Survival'!$C20-TOTAL_COSTS)/(Oyster_seed_planted*('Sensitivity_Price and Survival'!E$6/100))</f>
        <v>-6.8176673066666624E-2</v>
      </c>
      <c r="F20" s="12">
        <f>(Oyster_seed_planted*('Sensitivity_Price and Survival'!F$6/100)*'Sensitivity_Price and Survival'!$C20-TOTAL_COSTS)/(Oyster_seed_planted*('Sensitivity_Price and Survival'!F$6/100))</f>
        <v>-1.0697027878787538E-3</v>
      </c>
      <c r="G20" s="12">
        <f>(Oyster_seed_planted*('Sensitivity_Price and Survival'!G$6/100)*'Sensitivity_Price and Survival'!$C20-TOTAL_COSTS)/(Oyster_seed_planted*('Sensitivity_Price and Survival'!G$6/100))</f>
        <v>5.4852772444444552E-2</v>
      </c>
      <c r="H20" s="12">
        <f>(Oyster_seed_planted*('Sensitivity_Price and Survival'!H$6/100)*'Sensitivity_Price and Survival'!$C20-TOTAL_COSTS)/(Oyster_seed_planted*('Sensitivity_Price and Survival'!H$6/100))</f>
        <v>0.10217178994871798</v>
      </c>
      <c r="I20" s="12">
        <f>(Oyster_seed_planted*('Sensitivity_Price and Survival'!I$6/100)*'Sensitivity_Price and Survival'!$C20-TOTAL_COSTS)/(Oyster_seed_planted*('Sensitivity_Price and Survival'!I$6/100))</f>
        <v>0.14273094780952383</v>
      </c>
      <c r="J20" s="12">
        <f>(Oyster_seed_planted*('Sensitivity_Price and Survival'!J$6/100)*'Sensitivity_Price and Survival'!$C20-TOTAL_COSTS)/(Oyster_seed_planted*('Sensitivity_Price and Survival'!J$6/100))</f>
        <v>0.17788221795555559</v>
      </c>
      <c r="K20" s="12">
        <f>(Oyster_seed_planted*('Sensitivity_Price and Survival'!K$6/100)*'Sensitivity_Price and Survival'!$C20-TOTAL_COSTS)/(Oyster_seed_planted*('Sensitivity_Price and Survival'!K$6/100))</f>
        <v>0.20863957933333335</v>
      </c>
      <c r="L20" s="12">
        <f>(Oyster_seed_planted*('Sensitivity_Price and Survival'!L$6/100)*'Sensitivity_Price and Survival'!$C20-TOTAL_COSTS)/(Oyster_seed_planted*('Sensitivity_Price and Survival'!L$6/100))</f>
        <v>0.23577842760784315</v>
      </c>
      <c r="M20" s="12">
        <f>(Oyster_seed_planted*('Sensitivity_Price and Survival'!M$6/100)*'Sensitivity_Price and Survival'!$C20-TOTAL_COSTS)/(Oyster_seed_planted*('Sensitivity_Price and Survival'!M$6/100))</f>
        <v>0.25990184829629631</v>
      </c>
      <c r="N20" s="12">
        <f>(Oyster_seed_planted*('Sensitivity_Price and Survival'!N$6/100)*'Sensitivity_Price and Survival'!$C20-TOTAL_COSTS)/(Oyster_seed_planted*('Sensitivity_Price and Survival'!N$6/100))</f>
        <v>0.28148596154385969</v>
      </c>
    </row>
    <row r="21" spans="2:14" x14ac:dyDescent="0.25">
      <c r="B21" s="131"/>
      <c r="C21" s="8">
        <f t="shared" si="3"/>
        <v>0.7</v>
      </c>
      <c r="D21" s="12">
        <f>(Oyster_seed_planted*('Sensitivity_Price and Survival'!D$6/100)*'Sensitivity_Price and Survival'!$C21-TOTAL_COSTS)/(Oyster_seed_planted*('Sensitivity_Price and Survival'!D$6/100))</f>
        <v>-0.12019630340740736</v>
      </c>
      <c r="E21" s="12">
        <f>(Oyster_seed_planted*('Sensitivity_Price and Survival'!E$6/100)*'Sensitivity_Price and Survival'!$C21-TOTAL_COSTS)/(Oyster_seed_planted*('Sensitivity_Price and Survival'!E$6/100))</f>
        <v>-3.8176673066666632E-2</v>
      </c>
      <c r="F21" s="12">
        <f>(Oyster_seed_planted*('Sensitivity_Price and Survival'!F$6/100)*'Sensitivity_Price and Survival'!$C21-TOTAL_COSTS)/(Oyster_seed_planted*('Sensitivity_Price and Survival'!F$6/100))</f>
        <v>2.8930297212121162E-2</v>
      </c>
      <c r="G21" s="12">
        <f>(Oyster_seed_planted*('Sensitivity_Price and Survival'!G$6/100)*'Sensitivity_Price and Survival'!$C21-TOTAL_COSTS)/(Oyster_seed_planted*('Sensitivity_Price and Survival'!G$6/100))</f>
        <v>8.4852772444444474E-2</v>
      </c>
      <c r="H21" s="12">
        <f>(Oyster_seed_planted*('Sensitivity_Price and Survival'!H$6/100)*'Sensitivity_Price and Survival'!$C21-TOTAL_COSTS)/(Oyster_seed_planted*('Sensitivity_Price and Survival'!H$6/100))</f>
        <v>0.13217178994871798</v>
      </c>
      <c r="I21" s="12">
        <f>(Oyster_seed_planted*('Sensitivity_Price and Survival'!I$6/100)*'Sensitivity_Price and Survival'!$C21-TOTAL_COSTS)/(Oyster_seed_planted*('Sensitivity_Price and Survival'!I$6/100))</f>
        <v>0.17273094780952383</v>
      </c>
      <c r="J21" s="12">
        <f>(Oyster_seed_planted*('Sensitivity_Price and Survival'!J$6/100)*'Sensitivity_Price and Survival'!$C21-TOTAL_COSTS)/(Oyster_seed_planted*('Sensitivity_Price and Survival'!J$6/100))</f>
        <v>0.20788221795555559</v>
      </c>
      <c r="K21" s="12">
        <f>(Oyster_seed_planted*('Sensitivity_Price and Survival'!K$6/100)*'Sensitivity_Price and Survival'!$C21-TOTAL_COSTS)/(Oyster_seed_planted*('Sensitivity_Price and Survival'!K$6/100))</f>
        <v>0.23863957933333335</v>
      </c>
      <c r="L21" s="12">
        <f>(Oyster_seed_planted*('Sensitivity_Price and Survival'!L$6/100)*'Sensitivity_Price and Survival'!$C21-TOTAL_COSTS)/(Oyster_seed_planted*('Sensitivity_Price and Survival'!L$6/100))</f>
        <v>0.26577842760784315</v>
      </c>
      <c r="M21" s="12">
        <f>(Oyster_seed_planted*('Sensitivity_Price and Survival'!M$6/100)*'Sensitivity_Price and Survival'!$C21-TOTAL_COSTS)/(Oyster_seed_planted*('Sensitivity_Price and Survival'!M$6/100))</f>
        <v>0.28990184829629634</v>
      </c>
      <c r="N21" s="12">
        <f>(Oyster_seed_planted*('Sensitivity_Price and Survival'!N$6/100)*'Sensitivity_Price and Survival'!$C21-TOTAL_COSTS)/(Oyster_seed_planted*('Sensitivity_Price and Survival'!N$6/100))</f>
        <v>0.31148596154385966</v>
      </c>
    </row>
    <row r="22" spans="2:14" x14ac:dyDescent="0.25">
      <c r="B22" s="131"/>
      <c r="C22" s="8">
        <f t="shared" si="3"/>
        <v>0.74</v>
      </c>
      <c r="D22" s="12">
        <f>(Oyster_seed_planted*('Sensitivity_Price and Survival'!D$6/100)*'Sensitivity_Price and Survival'!$C22-TOTAL_COSTS)/(Oyster_seed_planted*('Sensitivity_Price and Survival'!D$6/100))</f>
        <v>-8.0196303407407368E-2</v>
      </c>
      <c r="E22" s="12">
        <f>(Oyster_seed_planted*('Sensitivity_Price and Survival'!E$6/100)*'Sensitivity_Price and Survival'!$C22-TOTAL_COSTS)/(Oyster_seed_planted*('Sensitivity_Price and Survival'!E$6/100))</f>
        <v>1.8233269333333708E-3</v>
      </c>
      <c r="F22" s="12">
        <f>(Oyster_seed_planted*('Sensitivity_Price and Survival'!F$6/100)*'Sensitivity_Price and Survival'!$C22-TOTAL_COSTS)/(Oyster_seed_planted*('Sensitivity_Price and Survival'!F$6/100))</f>
        <v>6.8930297212121253E-2</v>
      </c>
      <c r="G22" s="12">
        <f>(Oyster_seed_planted*('Sensitivity_Price and Survival'!G$6/100)*'Sensitivity_Price and Survival'!$C22-TOTAL_COSTS)/(Oyster_seed_planted*('Sensitivity_Price and Survival'!G$6/100))</f>
        <v>0.12485277244444448</v>
      </c>
      <c r="H22" s="12">
        <f>(Oyster_seed_planted*('Sensitivity_Price and Survival'!H$6/100)*'Sensitivity_Price and Survival'!$C22-TOTAL_COSTS)/(Oyster_seed_planted*('Sensitivity_Price and Survival'!H$6/100))</f>
        <v>0.17217178994871798</v>
      </c>
      <c r="I22" s="12">
        <f>(Oyster_seed_planted*('Sensitivity_Price and Survival'!I$6/100)*'Sensitivity_Price and Survival'!$C22-TOTAL_COSTS)/(Oyster_seed_planted*('Sensitivity_Price and Survival'!I$6/100))</f>
        <v>0.21273094780952384</v>
      </c>
      <c r="J22" s="12">
        <f>(Oyster_seed_planted*('Sensitivity_Price and Survival'!J$6/100)*'Sensitivity_Price and Survival'!$C22-TOTAL_COSTS)/(Oyster_seed_planted*('Sensitivity_Price and Survival'!J$6/100))</f>
        <v>0.24788221795555557</v>
      </c>
      <c r="K22" s="12">
        <f>(Oyster_seed_planted*('Sensitivity_Price and Survival'!K$6/100)*'Sensitivity_Price and Survival'!$C22-TOTAL_COSTS)/(Oyster_seed_planted*('Sensitivity_Price and Survival'!K$6/100))</f>
        <v>0.27863957933333333</v>
      </c>
      <c r="L22" s="12">
        <f>(Oyster_seed_planted*('Sensitivity_Price and Survival'!L$6/100)*'Sensitivity_Price and Survival'!$C22-TOTAL_COSTS)/(Oyster_seed_planted*('Sensitivity_Price and Survival'!L$6/100))</f>
        <v>0.30577842760784318</v>
      </c>
      <c r="M22" s="12">
        <f>(Oyster_seed_planted*('Sensitivity_Price and Survival'!M$6/100)*'Sensitivity_Price and Survival'!$C22-TOTAL_COSTS)/(Oyster_seed_planted*('Sensitivity_Price and Survival'!M$6/100))</f>
        <v>0.32990184829629632</v>
      </c>
      <c r="N22" s="12">
        <f>(Oyster_seed_planted*('Sensitivity_Price and Survival'!N$6/100)*'Sensitivity_Price and Survival'!$C22-TOTAL_COSTS)/(Oyster_seed_planted*('Sensitivity_Price and Survival'!N$6/100))</f>
        <v>0.35148596154385969</v>
      </c>
    </row>
    <row r="23" spans="2:14" x14ac:dyDescent="0.25">
      <c r="B23" s="131"/>
      <c r="C23" s="8">
        <f t="shared" si="3"/>
        <v>0.78</v>
      </c>
      <c r="D23" s="12">
        <f>(Oyster_seed_planted*('Sensitivity_Price and Survival'!D$6/100)*'Sensitivity_Price and Survival'!$C23-TOTAL_COSTS)/(Oyster_seed_planted*('Sensitivity_Price and Survival'!D$6/100))</f>
        <v>-4.0196303407407367E-2</v>
      </c>
      <c r="E23" s="12">
        <f>(Oyster_seed_planted*('Sensitivity_Price and Survival'!E$6/100)*'Sensitivity_Price and Survival'!$C23-TOTAL_COSTS)/(Oyster_seed_planted*('Sensitivity_Price and Survival'!E$6/100))</f>
        <v>4.182332693333337E-2</v>
      </c>
      <c r="F23" s="12">
        <f>(Oyster_seed_planted*('Sensitivity_Price and Survival'!F$6/100)*'Sensitivity_Price and Survival'!$C23-TOTAL_COSTS)/(Oyster_seed_planted*('Sensitivity_Price and Survival'!F$6/100))</f>
        <v>0.10893029721212125</v>
      </c>
      <c r="G23" s="12">
        <f>(Oyster_seed_planted*('Sensitivity_Price and Survival'!G$6/100)*'Sensitivity_Price and Survival'!$C23-TOTAL_COSTS)/(Oyster_seed_planted*('Sensitivity_Price and Survival'!G$6/100))</f>
        <v>0.16485277244444446</v>
      </c>
      <c r="H23" s="12">
        <f>(Oyster_seed_planted*('Sensitivity_Price and Survival'!H$6/100)*'Sensitivity_Price and Survival'!$C23-TOTAL_COSTS)/(Oyster_seed_planted*('Sensitivity_Price and Survival'!H$6/100))</f>
        <v>0.21217178994871796</v>
      </c>
      <c r="I23" s="12">
        <f>(Oyster_seed_planted*('Sensitivity_Price and Survival'!I$6/100)*'Sensitivity_Price and Survival'!$C23-TOTAL_COSTS)/(Oyster_seed_planted*('Sensitivity_Price and Survival'!I$6/100))</f>
        <v>0.25273094780952382</v>
      </c>
      <c r="J23" s="12">
        <f>(Oyster_seed_planted*('Sensitivity_Price and Survival'!J$6/100)*'Sensitivity_Price and Survival'!$C23-TOTAL_COSTS)/(Oyster_seed_planted*('Sensitivity_Price and Survival'!J$6/100))</f>
        <v>0.28788221795555557</v>
      </c>
      <c r="K23" s="12">
        <f>(Oyster_seed_planted*('Sensitivity_Price and Survival'!K$6/100)*'Sensitivity_Price and Survival'!$C23-TOTAL_COSTS)/(Oyster_seed_planted*('Sensitivity_Price and Survival'!K$6/100))</f>
        <v>0.31863957933333337</v>
      </c>
      <c r="L23" s="12">
        <f>(Oyster_seed_planted*('Sensitivity_Price and Survival'!L$6/100)*'Sensitivity_Price and Survival'!$C23-TOTAL_COSTS)/(Oyster_seed_planted*('Sensitivity_Price and Survival'!L$6/100))</f>
        <v>0.34577842760784316</v>
      </c>
      <c r="M23" s="12">
        <f>(Oyster_seed_planted*('Sensitivity_Price and Survival'!M$6/100)*'Sensitivity_Price and Survival'!$C23-TOTAL_COSTS)/(Oyster_seed_planted*('Sensitivity_Price and Survival'!M$6/100))</f>
        <v>0.3699018482962963</v>
      </c>
      <c r="N23" s="12">
        <f>(Oyster_seed_planted*('Sensitivity_Price and Survival'!N$6/100)*'Sensitivity_Price and Survival'!$C23-TOTAL_COSTS)/(Oyster_seed_planted*('Sensitivity_Price and Survival'!N$6/100))</f>
        <v>0.39148596154385967</v>
      </c>
    </row>
    <row r="24" spans="2:14" x14ac:dyDescent="0.25">
      <c r="B24" s="131"/>
      <c r="C24" s="8">
        <f t="shared" si="3"/>
        <v>0.82</v>
      </c>
      <c r="D24" s="12">
        <f>(Oyster_seed_planted*('Sensitivity_Price and Survival'!D$6/100)*'Sensitivity_Price and Survival'!$C24-TOTAL_COSTS)/(Oyster_seed_planted*('Sensitivity_Price and Survival'!D$6/100))</f>
        <v>-1.9630340740736573E-4</v>
      </c>
      <c r="E24" s="12">
        <f>(Oyster_seed_planted*('Sensitivity_Price and Survival'!E$6/100)*'Sensitivity_Price and Survival'!$C24-TOTAL_COSTS)/(Oyster_seed_planted*('Sensitivity_Price and Survival'!E$6/100))</f>
        <v>8.1823326933333274E-2</v>
      </c>
      <c r="F24" s="12">
        <f>(Oyster_seed_planted*('Sensitivity_Price and Survival'!F$6/100)*'Sensitivity_Price and Survival'!$C24-TOTAL_COSTS)/(Oyster_seed_planted*('Sensitivity_Price and Survival'!F$6/100))</f>
        <v>0.14893029721212125</v>
      </c>
      <c r="G24" s="12">
        <f>(Oyster_seed_planted*('Sensitivity_Price and Survival'!G$6/100)*'Sensitivity_Price and Survival'!$C24-TOTAL_COSTS)/(Oyster_seed_planted*('Sensitivity_Price and Survival'!G$6/100))</f>
        <v>0.20485277244444447</v>
      </c>
      <c r="H24" s="12">
        <f>(Oyster_seed_planted*('Sensitivity_Price and Survival'!H$6/100)*'Sensitivity_Price and Survival'!$C24-TOTAL_COSTS)/(Oyster_seed_planted*('Sensitivity_Price and Survival'!H$6/100))</f>
        <v>0.25217178994871797</v>
      </c>
      <c r="I24" s="12">
        <f>(Oyster_seed_planted*('Sensitivity_Price and Survival'!I$6/100)*'Sensitivity_Price and Survival'!$C24-TOTAL_COSTS)/(Oyster_seed_planted*('Sensitivity_Price and Survival'!I$6/100))</f>
        <v>0.29273094780952386</v>
      </c>
      <c r="J24" s="12">
        <f>(Oyster_seed_planted*('Sensitivity_Price and Survival'!J$6/100)*'Sensitivity_Price and Survival'!$C24-TOTAL_COSTS)/(Oyster_seed_planted*('Sensitivity_Price and Survival'!J$6/100))</f>
        <v>0.32788221795555555</v>
      </c>
      <c r="K24" s="12">
        <f>(Oyster_seed_planted*('Sensitivity_Price and Survival'!K$6/100)*'Sensitivity_Price and Survival'!$C24-TOTAL_COSTS)/(Oyster_seed_planted*('Sensitivity_Price and Survival'!K$6/100))</f>
        <v>0.35863957933333335</v>
      </c>
      <c r="L24" s="12">
        <f>(Oyster_seed_planted*('Sensitivity_Price and Survival'!L$6/100)*'Sensitivity_Price and Survival'!$C24-TOTAL_COSTS)/(Oyster_seed_planted*('Sensitivity_Price and Survival'!L$6/100))</f>
        <v>0.38577842760784314</v>
      </c>
      <c r="M24" s="12">
        <f>(Oyster_seed_planted*('Sensitivity_Price and Survival'!M$6/100)*'Sensitivity_Price and Survival'!$C24-TOTAL_COSTS)/(Oyster_seed_planted*('Sensitivity_Price and Survival'!M$6/100))</f>
        <v>0.40990184829629633</v>
      </c>
      <c r="N24" s="12">
        <f>(Oyster_seed_planted*('Sensitivity_Price and Survival'!N$6/100)*'Sensitivity_Price and Survival'!$C24-TOTAL_COSTS)/(Oyster_seed_planted*('Sensitivity_Price and Survival'!N$6/100))</f>
        <v>0.43148596154385965</v>
      </c>
    </row>
    <row r="27" spans="2:14" ht="18.75" x14ac:dyDescent="0.3">
      <c r="B27" s="128" t="s">
        <v>86</v>
      </c>
      <c r="C27" s="129"/>
      <c r="D27" s="129"/>
      <c r="E27" s="129"/>
      <c r="F27" s="129"/>
      <c r="G27" s="129"/>
      <c r="H27" s="129"/>
      <c r="I27" s="129"/>
      <c r="J27" s="129"/>
      <c r="K27" s="129"/>
      <c r="L27" s="129"/>
      <c r="M27" s="129"/>
      <c r="N27" s="129"/>
    </row>
    <row r="29" spans="2:14" ht="18.75" x14ac:dyDescent="0.3">
      <c r="B29" s="5"/>
      <c r="C29" s="5"/>
      <c r="D29" s="130" t="s">
        <v>68</v>
      </c>
      <c r="E29" s="130"/>
      <c r="F29" s="130"/>
      <c r="G29" s="130"/>
      <c r="H29" s="130"/>
      <c r="I29" s="130"/>
      <c r="J29" s="130"/>
      <c r="K29" s="130"/>
      <c r="L29" s="130"/>
      <c r="M29" s="130"/>
      <c r="N29" s="130"/>
    </row>
    <row r="30" spans="2:14" x14ac:dyDescent="0.25">
      <c r="B30" s="131" t="s">
        <v>69</v>
      </c>
      <c r="C30" s="6"/>
      <c r="D30" s="7">
        <f t="shared" ref="D30:I30" si="4">E30-5</f>
        <v>45</v>
      </c>
      <c r="E30" s="7">
        <f t="shared" si="4"/>
        <v>50</v>
      </c>
      <c r="F30" s="7">
        <f t="shared" si="4"/>
        <v>55</v>
      </c>
      <c r="G30" s="7">
        <f t="shared" si="4"/>
        <v>60</v>
      </c>
      <c r="H30" s="7">
        <f t="shared" si="4"/>
        <v>65</v>
      </c>
      <c r="I30" s="7">
        <f t="shared" si="4"/>
        <v>70</v>
      </c>
      <c r="J30" s="7">
        <f>Survival</f>
        <v>75</v>
      </c>
      <c r="K30" s="7">
        <f t="shared" ref="K30:N30" si="5">J30+5</f>
        <v>80</v>
      </c>
      <c r="L30" s="7">
        <f t="shared" si="5"/>
        <v>85</v>
      </c>
      <c r="M30" s="7">
        <f t="shared" si="5"/>
        <v>90</v>
      </c>
      <c r="N30" s="7">
        <f t="shared" si="5"/>
        <v>95</v>
      </c>
    </row>
    <row r="31" spans="2:14" x14ac:dyDescent="0.25">
      <c r="B31" s="131"/>
      <c r="C31" s="8">
        <f>ROUND(C32-C32*0.05,2)</f>
        <v>0.35</v>
      </c>
      <c r="D31" s="1">
        <f>(Oyster_seed_planted*('Sensitivity_Price and Survival'!D$30/100)*'Sensitivity_Price and Survival'!$C31-TOTAL_COSTS)</f>
        <v>-66121.355166666661</v>
      </c>
      <c r="E31" s="1">
        <f>(Oyster_seed_planted*('Sensitivity_Price and Survival'!E$30/100)*'Sensitivity_Price and Survival'!$C31-TOTAL_COSTS)</f>
        <v>-60652.605166666661</v>
      </c>
      <c r="F31" s="1">
        <f>(Oyster_seed_planted*('Sensitivity_Price and Survival'!F$30/100)*'Sensitivity_Price and Survival'!$C31-TOTAL_COSTS)</f>
        <v>-55183.855166666668</v>
      </c>
      <c r="G31" s="1">
        <f>(Oyster_seed_planted*('Sensitivity_Price and Survival'!G$30/100)*'Sensitivity_Price and Survival'!$C31-TOTAL_COSTS)</f>
        <v>-49715.105166666661</v>
      </c>
      <c r="H31" s="1">
        <f>(Oyster_seed_planted*('Sensitivity_Price and Survival'!H$30/100)*'Sensitivity_Price and Survival'!$C31-TOTAL_COSTS)</f>
        <v>-44246.355166666661</v>
      </c>
      <c r="I31" s="1">
        <f>(Oyster_seed_planted*('Sensitivity_Price and Survival'!I$30/100)*'Sensitivity_Price and Survival'!$C31-TOTAL_COSTS)</f>
        <v>-38777.605166666661</v>
      </c>
      <c r="J31" s="1">
        <f>(Oyster_seed_planted*('Sensitivity_Price and Survival'!J$30/100)*'Sensitivity_Price and Survival'!$C31-TOTAL_COSTS)</f>
        <v>-33308.855166666661</v>
      </c>
      <c r="K31" s="1">
        <f>(Oyster_seed_planted*('Sensitivity_Price and Survival'!K$30/100)*'Sensitivity_Price and Survival'!$C31-TOTAL_COSTS)</f>
        <v>-27840.105166666661</v>
      </c>
      <c r="L31" s="1">
        <f>(Oyster_seed_planted*('Sensitivity_Price and Survival'!L$30/100)*'Sensitivity_Price and Survival'!$C31-TOTAL_COSTS)</f>
        <v>-22371.355166666661</v>
      </c>
      <c r="M31" s="1">
        <f>(Oyster_seed_planted*('Sensitivity_Price and Survival'!M$30/100)*'Sensitivity_Price and Survival'!$C31-TOTAL_COSTS)</f>
        <v>-16902.605166666661</v>
      </c>
      <c r="N31" s="1">
        <f>(Oyster_seed_planted*('Sensitivity_Price and Survival'!N$30/100)*'Sensitivity_Price and Survival'!$C31-TOTAL_COSTS)</f>
        <v>-11433.855166666661</v>
      </c>
    </row>
    <row r="32" spans="2:14" x14ac:dyDescent="0.25">
      <c r="B32" s="131"/>
      <c r="C32" s="8">
        <f>ROUND(C33-C33*0.05,2)</f>
        <v>0.37</v>
      </c>
      <c r="D32" s="1">
        <f>(Oyster_seed_planted*('Sensitivity_Price and Survival'!D$30/100)*'Sensitivity_Price and Survival'!$C32-TOTAL_COSTS)</f>
        <v>-63308.855166666661</v>
      </c>
      <c r="E32" s="1">
        <f>(Oyster_seed_planted*('Sensitivity_Price and Survival'!E$30/100)*'Sensitivity_Price and Survival'!$C32-TOTAL_COSTS)</f>
        <v>-57527.605166666661</v>
      </c>
      <c r="F32" s="1">
        <f>(Oyster_seed_planted*('Sensitivity_Price and Survival'!F$30/100)*'Sensitivity_Price and Survival'!$C32-TOTAL_COSTS)</f>
        <v>-51746.355166666661</v>
      </c>
      <c r="G32" s="1">
        <f>(Oyster_seed_planted*('Sensitivity_Price and Survival'!G$30/100)*'Sensitivity_Price and Survival'!$C32-TOTAL_COSTS)</f>
        <v>-45965.105166666661</v>
      </c>
      <c r="H32" s="1">
        <f>(Oyster_seed_planted*('Sensitivity_Price and Survival'!H$30/100)*'Sensitivity_Price and Survival'!$C32-TOTAL_COSTS)</f>
        <v>-40183.855166666661</v>
      </c>
      <c r="I32" s="1">
        <f>(Oyster_seed_planted*('Sensitivity_Price and Survival'!I$30/100)*'Sensitivity_Price and Survival'!$C32-TOTAL_COSTS)</f>
        <v>-34402.605166666661</v>
      </c>
      <c r="J32" s="1">
        <f>(Oyster_seed_planted*('Sensitivity_Price and Survival'!J$30/100)*'Sensitivity_Price and Survival'!$C32-TOTAL_COSTS)</f>
        <v>-28621.355166666661</v>
      </c>
      <c r="K32" s="1">
        <f>(Oyster_seed_planted*('Sensitivity_Price and Survival'!K$30/100)*'Sensitivity_Price and Survival'!$C32-TOTAL_COSTS)</f>
        <v>-22840.105166666661</v>
      </c>
      <c r="L32" s="1">
        <f>(Oyster_seed_planted*('Sensitivity_Price and Survival'!L$30/100)*'Sensitivity_Price and Survival'!$C32-TOTAL_COSTS)</f>
        <v>-17058.855166666661</v>
      </c>
      <c r="M32" s="1">
        <f>(Oyster_seed_planted*('Sensitivity_Price and Survival'!M$30/100)*'Sensitivity_Price and Survival'!$C32-TOTAL_COSTS)</f>
        <v>-11277.605166666661</v>
      </c>
      <c r="N32" s="1">
        <f>(Oyster_seed_planted*('Sensitivity_Price and Survival'!N$30/100)*'Sensitivity_Price and Survival'!$C32-TOTAL_COSTS)</f>
        <v>-5496.3551666666608</v>
      </c>
    </row>
    <row r="33" spans="2:14" x14ac:dyDescent="0.25">
      <c r="B33" s="131"/>
      <c r="C33" s="8">
        <f t="shared" ref="C33:C39" si="6">ROUND(C34-C34*0.05,2)</f>
        <v>0.39</v>
      </c>
      <c r="D33" s="1">
        <f>(Oyster_seed_planted*('Sensitivity_Price and Survival'!D$30/100)*'Sensitivity_Price and Survival'!$C33-TOTAL_COSTS)</f>
        <v>-60496.355166666661</v>
      </c>
      <c r="E33" s="1">
        <f>(Oyster_seed_planted*('Sensitivity_Price and Survival'!E$30/100)*'Sensitivity_Price and Survival'!$C33-TOTAL_COSTS)</f>
        <v>-54402.605166666661</v>
      </c>
      <c r="F33" s="1">
        <f>(Oyster_seed_planted*('Sensitivity_Price and Survival'!F$30/100)*'Sensitivity_Price and Survival'!$C33-TOTAL_COSTS)</f>
        <v>-48308.855166666661</v>
      </c>
      <c r="G33" s="1">
        <f>(Oyster_seed_planted*('Sensitivity_Price and Survival'!G$30/100)*'Sensitivity_Price and Survival'!$C33-TOTAL_COSTS)</f>
        <v>-42215.105166666661</v>
      </c>
      <c r="H33" s="1">
        <f>(Oyster_seed_planted*('Sensitivity_Price and Survival'!H$30/100)*'Sensitivity_Price and Survival'!$C33-TOTAL_COSTS)</f>
        <v>-36121.355166666661</v>
      </c>
      <c r="I33" s="1">
        <f>(Oyster_seed_planted*('Sensitivity_Price and Survival'!I$30/100)*'Sensitivity_Price and Survival'!$C33-TOTAL_COSTS)</f>
        <v>-30027.605166666661</v>
      </c>
      <c r="J33" s="1">
        <f>(Oyster_seed_planted*('Sensitivity_Price and Survival'!J$30/100)*'Sensitivity_Price and Survival'!$C33-TOTAL_COSTS)</f>
        <v>-23933.855166666661</v>
      </c>
      <c r="K33" s="1">
        <f>(Oyster_seed_planted*('Sensitivity_Price and Survival'!K$30/100)*'Sensitivity_Price and Survival'!$C33-TOTAL_COSTS)</f>
        <v>-17840.105166666661</v>
      </c>
      <c r="L33" s="1">
        <f>(Oyster_seed_planted*('Sensitivity_Price and Survival'!L$30/100)*'Sensitivity_Price and Survival'!$C33-TOTAL_COSTS)</f>
        <v>-11746.355166666661</v>
      </c>
      <c r="M33" s="1">
        <f>(Oyster_seed_planted*('Sensitivity_Price and Survival'!M$30/100)*'Sensitivity_Price and Survival'!$C33-TOTAL_COSTS)</f>
        <v>-5652.6051666666608</v>
      </c>
      <c r="N33" s="1">
        <f>(Oyster_seed_planted*('Sensitivity_Price and Survival'!N$30/100)*'Sensitivity_Price and Survival'!$C33-TOTAL_COSTS)</f>
        <v>441.14483333333919</v>
      </c>
    </row>
    <row r="34" spans="2:14" x14ac:dyDescent="0.25">
      <c r="B34" s="131"/>
      <c r="C34" s="8">
        <f t="shared" si="6"/>
        <v>0.41</v>
      </c>
      <c r="D34" s="1">
        <f>(Oyster_seed_planted*('Sensitivity_Price and Survival'!D$30/100)*'Sensitivity_Price and Survival'!$C34-TOTAL_COSTS)</f>
        <v>-57683.855166666661</v>
      </c>
      <c r="E34" s="1">
        <f>(Oyster_seed_planted*('Sensitivity_Price and Survival'!E$30/100)*'Sensitivity_Price and Survival'!$C34-TOTAL_COSTS)</f>
        <v>-51277.605166666668</v>
      </c>
      <c r="F34" s="1">
        <f>(Oyster_seed_planted*('Sensitivity_Price and Survival'!F$30/100)*'Sensitivity_Price and Survival'!$C34-TOTAL_COSTS)</f>
        <v>-44871.355166666661</v>
      </c>
      <c r="G34" s="1">
        <f>(Oyster_seed_planted*('Sensitivity_Price and Survival'!G$30/100)*'Sensitivity_Price and Survival'!$C34-TOTAL_COSTS)</f>
        <v>-38465.105166666661</v>
      </c>
      <c r="H34" s="1">
        <f>(Oyster_seed_planted*('Sensitivity_Price and Survival'!H$30/100)*'Sensitivity_Price and Survival'!$C34-TOTAL_COSTS)</f>
        <v>-32058.855166666661</v>
      </c>
      <c r="I34" s="1">
        <f>(Oyster_seed_planted*('Sensitivity_Price and Survival'!I$30/100)*'Sensitivity_Price and Survival'!$C34-TOTAL_COSTS)</f>
        <v>-25652.605166666661</v>
      </c>
      <c r="J34" s="1">
        <f>(Oyster_seed_planted*('Sensitivity_Price and Survival'!J$30/100)*'Sensitivity_Price and Survival'!$C34-TOTAL_COSTS)</f>
        <v>-19246.355166666661</v>
      </c>
      <c r="K34" s="1">
        <f>(Oyster_seed_planted*('Sensitivity_Price and Survival'!K$30/100)*'Sensitivity_Price and Survival'!$C34-TOTAL_COSTS)</f>
        <v>-12840.105166666661</v>
      </c>
      <c r="L34" s="1">
        <f>(Oyster_seed_planted*('Sensitivity_Price and Survival'!L$30/100)*'Sensitivity_Price and Survival'!$C34-TOTAL_COSTS)</f>
        <v>-6433.8551666666608</v>
      </c>
      <c r="M34" s="1">
        <f>(Oyster_seed_planted*('Sensitivity_Price and Survival'!M$30/100)*'Sensitivity_Price and Survival'!$C34-TOTAL_COSTS)</f>
        <v>-27.605166666660807</v>
      </c>
      <c r="N34" s="1">
        <f>(Oyster_seed_planted*('Sensitivity_Price and Survival'!N$30/100)*'Sensitivity_Price and Survival'!$C34-TOTAL_COSTS)</f>
        <v>6378.6448333333392</v>
      </c>
    </row>
    <row r="35" spans="2:14" x14ac:dyDescent="0.25">
      <c r="B35" s="131"/>
      <c r="C35" s="8">
        <f t="shared" si="6"/>
        <v>0.43</v>
      </c>
      <c r="D35" s="1">
        <f>(Oyster_seed_planted*('Sensitivity_Price and Survival'!D$30/100)*'Sensitivity_Price and Survival'!$C35-TOTAL_COSTS)</f>
        <v>-54871.355166666661</v>
      </c>
      <c r="E35" s="1">
        <f>(Oyster_seed_planted*('Sensitivity_Price and Survival'!E$30/100)*'Sensitivity_Price and Survival'!$C35-TOTAL_COSTS)</f>
        <v>-48152.605166666661</v>
      </c>
      <c r="F35" s="1">
        <f>(Oyster_seed_planted*('Sensitivity_Price and Survival'!F$30/100)*'Sensitivity_Price and Survival'!$C35-TOTAL_COSTS)</f>
        <v>-41433.855166666661</v>
      </c>
      <c r="G35" s="1">
        <f>(Oyster_seed_planted*('Sensitivity_Price and Survival'!G$30/100)*'Sensitivity_Price and Survival'!$C35-TOTAL_COSTS)</f>
        <v>-34715.105166666661</v>
      </c>
      <c r="H35" s="1">
        <f>(Oyster_seed_planted*('Sensitivity_Price and Survival'!H$30/100)*'Sensitivity_Price and Survival'!$C35-TOTAL_COSTS)</f>
        <v>-27996.355166666661</v>
      </c>
      <c r="I35" s="1">
        <f>(Oyster_seed_planted*('Sensitivity_Price and Survival'!I$30/100)*'Sensitivity_Price and Survival'!$C35-TOTAL_COSTS)</f>
        <v>-21277.605166666661</v>
      </c>
      <c r="J35" s="1">
        <f>(Oyster_seed_planted*('Sensitivity_Price and Survival'!J$30/100)*'Sensitivity_Price and Survival'!$C35-TOTAL_COSTS)</f>
        <v>-14558.855166666661</v>
      </c>
      <c r="K35" s="1">
        <f>(Oyster_seed_planted*('Sensitivity_Price and Survival'!K$30/100)*'Sensitivity_Price and Survival'!$C35-TOTAL_COSTS)</f>
        <v>-7840.1051666666608</v>
      </c>
      <c r="L35" s="1">
        <f>(Oyster_seed_planted*('Sensitivity_Price and Survival'!L$30/100)*'Sensitivity_Price and Survival'!$C35-TOTAL_COSTS)</f>
        <v>-1121.3551666666608</v>
      </c>
      <c r="M35" s="1">
        <f>(Oyster_seed_planted*('Sensitivity_Price and Survival'!M$30/100)*'Sensitivity_Price and Survival'!$C35-TOTAL_COSTS)</f>
        <v>5597.3948333333392</v>
      </c>
      <c r="N35" s="1">
        <f>(Oyster_seed_planted*('Sensitivity_Price and Survival'!N$30/100)*'Sensitivity_Price and Survival'!$C35-TOTAL_COSTS)</f>
        <v>12316.144833333339</v>
      </c>
    </row>
    <row r="36" spans="2:14" x14ac:dyDescent="0.25">
      <c r="B36" s="131"/>
      <c r="C36" s="8">
        <f t="shared" si="6"/>
        <v>0.45</v>
      </c>
      <c r="D36" s="1">
        <f>(Oyster_seed_planted*('Sensitivity_Price and Survival'!D$30/100)*'Sensitivity_Price and Survival'!$C36-TOTAL_COSTS)</f>
        <v>-52058.855166666661</v>
      </c>
      <c r="E36" s="1">
        <f>(Oyster_seed_planted*('Sensitivity_Price and Survival'!E$30/100)*'Sensitivity_Price and Survival'!$C36-TOTAL_COSTS)</f>
        <v>-45027.605166666661</v>
      </c>
      <c r="F36" s="1">
        <f>(Oyster_seed_planted*('Sensitivity_Price and Survival'!F$30/100)*'Sensitivity_Price and Survival'!$C36-TOTAL_COSTS)</f>
        <v>-37996.355166666661</v>
      </c>
      <c r="G36" s="1">
        <f>(Oyster_seed_planted*('Sensitivity_Price and Survival'!G$30/100)*'Sensitivity_Price and Survival'!$C36-TOTAL_COSTS)</f>
        <v>-30965.105166666661</v>
      </c>
      <c r="H36" s="1">
        <f>(Oyster_seed_planted*('Sensitivity_Price and Survival'!H$30/100)*'Sensitivity_Price and Survival'!$C36-TOTAL_COSTS)</f>
        <v>-23933.855166666661</v>
      </c>
      <c r="I36" s="1">
        <f>(Oyster_seed_planted*('Sensitivity_Price and Survival'!I$30/100)*'Sensitivity_Price and Survival'!$C36-TOTAL_COSTS)</f>
        <v>-16902.605166666661</v>
      </c>
      <c r="J36" s="1">
        <f>(Oyster_seed_planted*('Sensitivity_Price and Survival'!J$30/100)*'Sensitivity_Price and Survival'!$C36-TOTAL_COSTS)</f>
        <v>-9871.3551666666608</v>
      </c>
      <c r="K36" s="1">
        <f>(Oyster_seed_planted*('Sensitivity_Price and Survival'!K$30/100)*'Sensitivity_Price and Survival'!$C36-TOTAL_COSTS)</f>
        <v>-2840.1051666666608</v>
      </c>
      <c r="L36" s="1">
        <f>(Oyster_seed_planted*('Sensitivity_Price and Survival'!L$30/100)*'Sensitivity_Price and Survival'!$C36-TOTAL_COSTS)</f>
        <v>4191.1448333333392</v>
      </c>
      <c r="M36" s="1">
        <f>(Oyster_seed_planted*('Sensitivity_Price and Survival'!M$30/100)*'Sensitivity_Price and Survival'!$C36-TOTAL_COSTS)</f>
        <v>11222.394833333339</v>
      </c>
      <c r="N36" s="1">
        <f>(Oyster_seed_planted*('Sensitivity_Price and Survival'!N$30/100)*'Sensitivity_Price and Survival'!$C36-TOTAL_COSTS)</f>
        <v>18253.644833333339</v>
      </c>
    </row>
    <row r="37" spans="2:14" x14ac:dyDescent="0.25">
      <c r="B37" s="131"/>
      <c r="C37" s="8">
        <f t="shared" si="6"/>
        <v>0.47</v>
      </c>
      <c r="D37" s="1">
        <f>(Oyster_seed_planted*('Sensitivity_Price and Survival'!D$30/100)*'Sensitivity_Price and Survival'!$C37-TOTAL_COSTS)</f>
        <v>-49246.355166666661</v>
      </c>
      <c r="E37" s="1">
        <f>(Oyster_seed_planted*('Sensitivity_Price and Survival'!E$30/100)*'Sensitivity_Price and Survival'!$C37-TOTAL_COSTS)</f>
        <v>-41902.605166666661</v>
      </c>
      <c r="F37" s="1">
        <f>(Oyster_seed_planted*('Sensitivity_Price and Survival'!F$30/100)*'Sensitivity_Price and Survival'!$C37-TOTAL_COSTS)</f>
        <v>-34558.855166666661</v>
      </c>
      <c r="G37" s="1">
        <f>(Oyster_seed_planted*('Sensitivity_Price and Survival'!G$30/100)*'Sensitivity_Price and Survival'!$C37-TOTAL_COSTS)</f>
        <v>-27215.105166666661</v>
      </c>
      <c r="H37" s="1">
        <f>(Oyster_seed_planted*('Sensitivity_Price and Survival'!H$30/100)*'Sensitivity_Price and Survival'!$C37-TOTAL_COSTS)</f>
        <v>-19871.355166666661</v>
      </c>
      <c r="I37" s="1">
        <f>(Oyster_seed_planted*('Sensitivity_Price and Survival'!I$30/100)*'Sensitivity_Price and Survival'!$C37-TOTAL_COSTS)</f>
        <v>-12527.605166666661</v>
      </c>
      <c r="J37" s="1">
        <f>(Oyster_seed_planted*('Sensitivity_Price and Survival'!J$30/100)*'Sensitivity_Price and Survival'!$C37-TOTAL_COSTS)</f>
        <v>-5183.8551666666608</v>
      </c>
      <c r="K37" s="1">
        <f>(Oyster_seed_planted*('Sensitivity_Price and Survival'!K$30/100)*'Sensitivity_Price and Survival'!$C37-TOTAL_COSTS)</f>
        <v>2159.8948333333392</v>
      </c>
      <c r="L37" s="1">
        <f>(Oyster_seed_planted*('Sensitivity_Price and Survival'!L$30/100)*'Sensitivity_Price and Survival'!$C37-TOTAL_COSTS)</f>
        <v>9503.6448333333392</v>
      </c>
      <c r="M37" s="1">
        <f>(Oyster_seed_planted*('Sensitivity_Price and Survival'!M$30/100)*'Sensitivity_Price and Survival'!$C37-TOTAL_COSTS)</f>
        <v>16847.394833333339</v>
      </c>
      <c r="N37" s="1">
        <f>(Oyster_seed_planted*('Sensitivity_Price and Survival'!N$30/100)*'Sensitivity_Price and Survival'!$C37-TOTAL_COSTS)</f>
        <v>24191.144833333339</v>
      </c>
    </row>
    <row r="38" spans="2:14" x14ac:dyDescent="0.25">
      <c r="B38" s="131"/>
      <c r="C38" s="8">
        <f t="shared" si="6"/>
        <v>0.49</v>
      </c>
      <c r="D38" s="1">
        <f>(Oyster_seed_planted*('Sensitivity_Price and Survival'!D$30/100)*'Sensitivity_Price and Survival'!$C38-TOTAL_COSTS)</f>
        <v>-46433.855166666661</v>
      </c>
      <c r="E38" s="1">
        <f>(Oyster_seed_planted*('Sensitivity_Price and Survival'!E$30/100)*'Sensitivity_Price and Survival'!$C38-TOTAL_COSTS)</f>
        <v>-38777.605166666661</v>
      </c>
      <c r="F38" s="1">
        <f>(Oyster_seed_planted*('Sensitivity_Price and Survival'!F$30/100)*'Sensitivity_Price and Survival'!$C38-TOTAL_COSTS)</f>
        <v>-31121.355166666661</v>
      </c>
      <c r="G38" s="1">
        <f>(Oyster_seed_planted*('Sensitivity_Price and Survival'!G$30/100)*'Sensitivity_Price and Survival'!$C38-TOTAL_COSTS)</f>
        <v>-23465.105166666661</v>
      </c>
      <c r="H38" s="1">
        <f>(Oyster_seed_planted*('Sensitivity_Price and Survival'!H$30/100)*'Sensitivity_Price and Survival'!$C38-TOTAL_COSTS)</f>
        <v>-15808.855166666661</v>
      </c>
      <c r="I38" s="1">
        <f>(Oyster_seed_planted*('Sensitivity_Price and Survival'!I$30/100)*'Sensitivity_Price and Survival'!$C38-TOTAL_COSTS)</f>
        <v>-8152.6051666666608</v>
      </c>
      <c r="J38" s="1">
        <f>(Oyster_seed_planted*('Sensitivity_Price and Survival'!J$30/100)*'Sensitivity_Price and Survival'!$C38-TOTAL_COSTS)</f>
        <v>-496.35516666666081</v>
      </c>
      <c r="K38" s="1">
        <f>(Oyster_seed_planted*('Sensitivity_Price and Survival'!K$30/100)*'Sensitivity_Price and Survival'!$C38-TOTAL_COSTS)</f>
        <v>7159.8948333333392</v>
      </c>
      <c r="L38" s="1">
        <f>(Oyster_seed_planted*('Sensitivity_Price and Survival'!L$30/100)*'Sensitivity_Price and Survival'!$C38-TOTAL_COSTS)</f>
        <v>14816.144833333339</v>
      </c>
      <c r="M38" s="1">
        <f>(Oyster_seed_planted*('Sensitivity_Price and Survival'!M$30/100)*'Sensitivity_Price and Survival'!$C38-TOTAL_COSTS)</f>
        <v>22472.394833333339</v>
      </c>
      <c r="N38" s="1">
        <f>(Oyster_seed_planted*('Sensitivity_Price and Survival'!N$30/100)*'Sensitivity_Price and Survival'!$C38-TOTAL_COSTS)</f>
        <v>30128.644833333339</v>
      </c>
    </row>
    <row r="39" spans="2:14" x14ac:dyDescent="0.25">
      <c r="B39" s="131"/>
      <c r="C39" s="8">
        <f t="shared" si="6"/>
        <v>0.52</v>
      </c>
      <c r="D39" s="1">
        <f>(Oyster_seed_planted*('Sensitivity_Price and Survival'!D$30/100)*'Sensitivity_Price and Survival'!$C39-TOTAL_COSTS)</f>
        <v>-42215.105166666661</v>
      </c>
      <c r="E39" s="1">
        <f>(Oyster_seed_planted*('Sensitivity_Price and Survival'!E$30/100)*'Sensitivity_Price and Survival'!$C39-TOTAL_COSTS)</f>
        <v>-34090.105166666661</v>
      </c>
      <c r="F39" s="1">
        <f>(Oyster_seed_planted*('Sensitivity_Price and Survival'!F$30/100)*'Sensitivity_Price and Survival'!$C39-TOTAL_COSTS)</f>
        <v>-25965.105166666661</v>
      </c>
      <c r="G39" s="1">
        <f>(Oyster_seed_planted*('Sensitivity_Price and Survival'!G$30/100)*'Sensitivity_Price and Survival'!$C39-TOTAL_COSTS)</f>
        <v>-17840.105166666661</v>
      </c>
      <c r="H39" s="1">
        <f>(Oyster_seed_planted*('Sensitivity_Price and Survival'!H$30/100)*'Sensitivity_Price and Survival'!$C39-TOTAL_COSTS)</f>
        <v>-9715.1051666666608</v>
      </c>
      <c r="I39" s="1">
        <f>(Oyster_seed_planted*('Sensitivity_Price and Survival'!I$30/100)*'Sensitivity_Price and Survival'!$C39-TOTAL_COSTS)</f>
        <v>-1590.1051666666608</v>
      </c>
      <c r="J39" s="1">
        <f>(Oyster_seed_planted*('Sensitivity_Price and Survival'!J$30/100)*'Sensitivity_Price and Survival'!$C39-TOTAL_COSTS)</f>
        <v>6534.8948333333392</v>
      </c>
      <c r="K39" s="1">
        <f>(Oyster_seed_planted*('Sensitivity_Price and Survival'!K$30/100)*'Sensitivity_Price and Survival'!$C39-TOTAL_COSTS)</f>
        <v>14659.894833333339</v>
      </c>
      <c r="L39" s="1">
        <f>(Oyster_seed_planted*('Sensitivity_Price and Survival'!L$30/100)*'Sensitivity_Price and Survival'!$C39-TOTAL_COSTS)</f>
        <v>22784.894833333339</v>
      </c>
      <c r="M39" s="1">
        <f>(Oyster_seed_planted*('Sensitivity_Price and Survival'!M$30/100)*'Sensitivity_Price and Survival'!$C39-TOTAL_COSTS)</f>
        <v>30909.894833333339</v>
      </c>
      <c r="N39" s="1">
        <f>(Oyster_seed_planted*('Sensitivity_Price and Survival'!N$30/100)*'Sensitivity_Price and Survival'!$C39-TOTAL_COSTS)</f>
        <v>39034.894833333339</v>
      </c>
    </row>
    <row r="40" spans="2:14" x14ac:dyDescent="0.25">
      <c r="B40" s="131"/>
      <c r="C40" s="8">
        <f>Price</f>
        <v>0.55000000000000004</v>
      </c>
      <c r="D40" s="1">
        <f>(Oyster_seed_planted*('Sensitivity_Price and Survival'!D$30/100)*'Sensitivity_Price and Survival'!$C40-TOTAL_COSTS)</f>
        <v>-37996.355166666661</v>
      </c>
      <c r="E40" s="1">
        <f>(Oyster_seed_planted*('Sensitivity_Price and Survival'!E$30/100)*'Sensitivity_Price and Survival'!$C40-TOTAL_COSTS)</f>
        <v>-29402.605166666661</v>
      </c>
      <c r="F40" s="1">
        <f>(Oyster_seed_planted*('Sensitivity_Price and Survival'!F$30/100)*'Sensitivity_Price and Survival'!$C40-TOTAL_COSTS)</f>
        <v>-20808.855166666646</v>
      </c>
      <c r="G40" s="1">
        <f>(Oyster_seed_planted*('Sensitivity_Price and Survival'!G$30/100)*'Sensitivity_Price and Survival'!$C40-TOTAL_COSTS)</f>
        <v>-12215.105166666646</v>
      </c>
      <c r="H40" s="1">
        <f>(Oyster_seed_planted*('Sensitivity_Price and Survival'!H$30/100)*'Sensitivity_Price and Survival'!$C40-TOTAL_COSTS)</f>
        <v>-3621.3551666666463</v>
      </c>
      <c r="I40" s="1">
        <f>(Oyster_seed_planted*('Sensitivity_Price and Survival'!I$30/100)*'Sensitivity_Price and Survival'!$C40-TOTAL_COSTS)</f>
        <v>4972.3948333333537</v>
      </c>
      <c r="J40" s="10">
        <f>(Oyster_seed_planted*('Sensitivity_Price and Survival'!J$30/100)*'Sensitivity_Price and Survival'!$C40-TOTAL_COSTS)</f>
        <v>13566.144833333354</v>
      </c>
      <c r="K40" s="1">
        <f>(Oyster_seed_planted*('Sensitivity_Price and Survival'!K$30/100)*'Sensitivity_Price and Survival'!$C40-TOTAL_COSTS)</f>
        <v>22159.894833333339</v>
      </c>
      <c r="L40" s="1">
        <f>(Oyster_seed_planted*('Sensitivity_Price and Survival'!L$30/100)*'Sensitivity_Price and Survival'!$C40-TOTAL_COSTS)</f>
        <v>30753.644833333339</v>
      </c>
      <c r="M40" s="1">
        <f>(Oyster_seed_planted*('Sensitivity_Price and Survival'!M$30/100)*'Sensitivity_Price and Survival'!$C40-TOTAL_COSTS)</f>
        <v>39347.394833333339</v>
      </c>
      <c r="N40" s="1">
        <f>(Oyster_seed_planted*('Sensitivity_Price and Survival'!N$30/100)*'Sensitivity_Price and Survival'!$C40-TOTAL_COSTS)</f>
        <v>47941.144833333339</v>
      </c>
    </row>
    <row r="41" spans="2:14" x14ac:dyDescent="0.25">
      <c r="B41" s="131"/>
      <c r="C41" s="8">
        <f>ROUND(C40+C40*0.05,2)</f>
        <v>0.57999999999999996</v>
      </c>
      <c r="D41" s="1">
        <f>(Oyster_seed_planted*('Sensitivity_Price and Survival'!D$30/100)*'Sensitivity_Price and Survival'!$C41-TOTAL_COSTS)</f>
        <v>-33777.605166666661</v>
      </c>
      <c r="E41" s="1">
        <f>(Oyster_seed_planted*('Sensitivity_Price and Survival'!E$30/100)*'Sensitivity_Price and Survival'!$C41-TOTAL_COSTS)</f>
        <v>-24715.105166666661</v>
      </c>
      <c r="F41" s="1">
        <f>(Oyster_seed_planted*('Sensitivity_Price and Survival'!F$30/100)*'Sensitivity_Price and Survival'!$C41-TOTAL_COSTS)</f>
        <v>-15652.605166666661</v>
      </c>
      <c r="G41" s="1">
        <f>(Oyster_seed_planted*('Sensitivity_Price and Survival'!G$30/100)*'Sensitivity_Price and Survival'!$C41-TOTAL_COSTS)</f>
        <v>-6590.1051666666754</v>
      </c>
      <c r="H41" s="1">
        <f>(Oyster_seed_planted*('Sensitivity_Price and Survival'!H$30/100)*'Sensitivity_Price and Survival'!$C41-TOTAL_COSTS)</f>
        <v>2472.3948333333246</v>
      </c>
      <c r="I41" s="1">
        <f>(Oyster_seed_planted*('Sensitivity_Price and Survival'!I$30/100)*'Sensitivity_Price and Survival'!$C41-TOTAL_COSTS)</f>
        <v>11534.894833333325</v>
      </c>
      <c r="J41" s="1">
        <f>(Oyster_seed_planted*('Sensitivity_Price and Survival'!J$30/100)*'Sensitivity_Price and Survival'!$C41-TOTAL_COSTS)</f>
        <v>20597.394833333339</v>
      </c>
      <c r="K41" s="1">
        <f>(Oyster_seed_planted*('Sensitivity_Price and Survival'!K$30/100)*'Sensitivity_Price and Survival'!$C41-TOTAL_COSTS)</f>
        <v>29659.894833333339</v>
      </c>
      <c r="L41" s="1">
        <f>(Oyster_seed_planted*('Sensitivity_Price and Survival'!L$30/100)*'Sensitivity_Price and Survival'!$C41-TOTAL_COSTS)</f>
        <v>38722.394833333339</v>
      </c>
      <c r="M41" s="1">
        <f>(Oyster_seed_planted*('Sensitivity_Price and Survival'!M$30/100)*'Sensitivity_Price and Survival'!$C41-TOTAL_COSTS)</f>
        <v>47784.894833333339</v>
      </c>
      <c r="N41" s="1">
        <f>(Oyster_seed_planted*('Sensitivity_Price and Survival'!N$30/100)*'Sensitivity_Price and Survival'!$C41-TOTAL_COSTS)</f>
        <v>56847.394833333339</v>
      </c>
    </row>
    <row r="42" spans="2:14" x14ac:dyDescent="0.25">
      <c r="B42" s="131"/>
      <c r="C42" s="8">
        <f t="shared" ref="C42:C48" si="7">ROUND(C41+C41*0.05,2)</f>
        <v>0.61</v>
      </c>
      <c r="D42" s="1">
        <f>(Oyster_seed_planted*('Sensitivity_Price and Survival'!D$30/100)*'Sensitivity_Price and Survival'!$C42-TOTAL_COSTS)</f>
        <v>-29558.855166666661</v>
      </c>
      <c r="E42" s="1">
        <f>(Oyster_seed_planted*('Sensitivity_Price and Survival'!E$30/100)*'Sensitivity_Price and Survival'!$C42-TOTAL_COSTS)</f>
        <v>-20027.605166666661</v>
      </c>
      <c r="F42" s="1">
        <f>(Oyster_seed_planted*('Sensitivity_Price and Survival'!F$30/100)*'Sensitivity_Price and Survival'!$C42-TOTAL_COSTS)</f>
        <v>-10496.355166666661</v>
      </c>
      <c r="G42" s="1">
        <f>(Oyster_seed_planted*('Sensitivity_Price and Survival'!G$30/100)*'Sensitivity_Price and Survival'!$C42-TOTAL_COSTS)</f>
        <v>-965.10516666666081</v>
      </c>
      <c r="H42" s="1">
        <f>(Oyster_seed_planted*('Sensitivity_Price and Survival'!H$30/100)*'Sensitivity_Price and Survival'!$C42-TOTAL_COSTS)</f>
        <v>8566.1448333333392</v>
      </c>
      <c r="I42" s="1">
        <f>(Oyster_seed_planted*('Sensitivity_Price and Survival'!I$30/100)*'Sensitivity_Price and Survival'!$C42-TOTAL_COSTS)</f>
        <v>18097.394833333339</v>
      </c>
      <c r="J42" s="1">
        <f>(Oyster_seed_planted*('Sensitivity_Price and Survival'!J$30/100)*'Sensitivity_Price and Survival'!$C42-TOTAL_COSTS)</f>
        <v>27628.644833333339</v>
      </c>
      <c r="K42" s="1">
        <f>(Oyster_seed_planted*('Sensitivity_Price and Survival'!K$30/100)*'Sensitivity_Price and Survival'!$C42-TOTAL_COSTS)</f>
        <v>37159.894833333339</v>
      </c>
      <c r="L42" s="1">
        <f>(Oyster_seed_planted*('Sensitivity_Price and Survival'!L$30/100)*'Sensitivity_Price and Survival'!$C42-TOTAL_COSTS)</f>
        <v>46691.144833333339</v>
      </c>
      <c r="M42" s="1">
        <f>(Oyster_seed_planted*('Sensitivity_Price and Survival'!M$30/100)*'Sensitivity_Price and Survival'!$C42-TOTAL_COSTS)</f>
        <v>56222.394833333339</v>
      </c>
      <c r="N42" s="1">
        <f>(Oyster_seed_planted*('Sensitivity_Price and Survival'!N$30/100)*'Sensitivity_Price and Survival'!$C42-TOTAL_COSTS)</f>
        <v>65753.644833333339</v>
      </c>
    </row>
    <row r="43" spans="2:14" x14ac:dyDescent="0.25">
      <c r="B43" s="131"/>
      <c r="C43" s="8">
        <f t="shared" si="7"/>
        <v>0.64</v>
      </c>
      <c r="D43" s="1">
        <f>(Oyster_seed_planted*('Sensitivity_Price and Survival'!D$30/100)*'Sensitivity_Price and Survival'!$C43-TOTAL_COSTS)</f>
        <v>-25340.105166666661</v>
      </c>
      <c r="E43" s="1">
        <f>(Oyster_seed_planted*('Sensitivity_Price and Survival'!E$30/100)*'Sensitivity_Price and Survival'!$C43-TOTAL_COSTS)</f>
        <v>-15340.105166666661</v>
      </c>
      <c r="F43" s="1">
        <f>(Oyster_seed_planted*('Sensitivity_Price and Survival'!F$30/100)*'Sensitivity_Price and Survival'!$C43-TOTAL_COSTS)</f>
        <v>-5340.1051666666608</v>
      </c>
      <c r="G43" s="1">
        <f>(Oyster_seed_planted*('Sensitivity_Price and Survival'!G$30/100)*'Sensitivity_Price and Survival'!$C43-TOTAL_COSTS)</f>
        <v>4659.8948333333392</v>
      </c>
      <c r="H43" s="1">
        <f>(Oyster_seed_planted*('Sensitivity_Price and Survival'!H$30/100)*'Sensitivity_Price and Survival'!$C43-TOTAL_COSTS)</f>
        <v>14659.894833333339</v>
      </c>
      <c r="I43" s="1">
        <f>(Oyster_seed_planted*('Sensitivity_Price and Survival'!I$30/100)*'Sensitivity_Price and Survival'!$C43-TOTAL_COSTS)</f>
        <v>24659.894833333339</v>
      </c>
      <c r="J43" s="1">
        <f>(Oyster_seed_planted*('Sensitivity_Price and Survival'!J$30/100)*'Sensitivity_Price and Survival'!$C43-TOTAL_COSTS)</f>
        <v>34659.894833333339</v>
      </c>
      <c r="K43" s="1">
        <f>(Oyster_seed_planted*('Sensitivity_Price and Survival'!K$30/100)*'Sensitivity_Price and Survival'!$C43-TOTAL_COSTS)</f>
        <v>44659.894833333339</v>
      </c>
      <c r="L43" s="1">
        <f>(Oyster_seed_planted*('Sensitivity_Price and Survival'!L$30/100)*'Sensitivity_Price and Survival'!$C43-TOTAL_COSTS)</f>
        <v>54659.894833333339</v>
      </c>
      <c r="M43" s="1">
        <f>(Oyster_seed_planted*('Sensitivity_Price and Survival'!M$30/100)*'Sensitivity_Price and Survival'!$C43-TOTAL_COSTS)</f>
        <v>64659.894833333339</v>
      </c>
      <c r="N43" s="1">
        <f>(Oyster_seed_planted*('Sensitivity_Price and Survival'!N$30/100)*'Sensitivity_Price and Survival'!$C43-TOTAL_COSTS)</f>
        <v>74659.894833333339</v>
      </c>
    </row>
    <row r="44" spans="2:14" x14ac:dyDescent="0.25">
      <c r="B44" s="131"/>
      <c r="C44" s="8">
        <f t="shared" si="7"/>
        <v>0.67</v>
      </c>
      <c r="D44" s="1">
        <f>(Oyster_seed_planted*('Sensitivity_Price and Survival'!D$30/100)*'Sensitivity_Price and Survival'!$C44-TOTAL_COSTS)</f>
        <v>-21121.355166666661</v>
      </c>
      <c r="E44" s="1">
        <f>(Oyster_seed_planted*('Sensitivity_Price and Survival'!E$30/100)*'Sensitivity_Price and Survival'!$C44-TOTAL_COSTS)</f>
        <v>-10652.605166666661</v>
      </c>
      <c r="F44" s="1">
        <f>(Oyster_seed_planted*('Sensitivity_Price and Survival'!F$30/100)*'Sensitivity_Price and Survival'!$C44-TOTAL_COSTS)</f>
        <v>-183.85516666666081</v>
      </c>
      <c r="G44" s="1">
        <f>(Oyster_seed_planted*('Sensitivity_Price and Survival'!G$30/100)*'Sensitivity_Price and Survival'!$C44-TOTAL_COSTS)</f>
        <v>10284.894833333354</v>
      </c>
      <c r="H44" s="1">
        <f>(Oyster_seed_planted*('Sensitivity_Price and Survival'!H$30/100)*'Sensitivity_Price and Survival'!$C44-TOTAL_COSTS)</f>
        <v>20753.644833333339</v>
      </c>
      <c r="I44" s="1">
        <f>(Oyster_seed_planted*('Sensitivity_Price and Survival'!I$30/100)*'Sensitivity_Price and Survival'!$C44-TOTAL_COSTS)</f>
        <v>31222.394833333339</v>
      </c>
      <c r="J44" s="1">
        <f>(Oyster_seed_planted*('Sensitivity_Price and Survival'!J$30/100)*'Sensitivity_Price and Survival'!$C44-TOTAL_COSTS)</f>
        <v>41691.144833333339</v>
      </c>
      <c r="K44" s="1">
        <f>(Oyster_seed_planted*('Sensitivity_Price and Survival'!K$30/100)*'Sensitivity_Price and Survival'!$C44-TOTAL_COSTS)</f>
        <v>52159.894833333339</v>
      </c>
      <c r="L44" s="1">
        <f>(Oyster_seed_planted*('Sensitivity_Price and Survival'!L$30/100)*'Sensitivity_Price and Survival'!$C44-TOTAL_COSTS)</f>
        <v>62628.644833333339</v>
      </c>
      <c r="M44" s="1">
        <f>(Oyster_seed_planted*('Sensitivity_Price and Survival'!M$30/100)*'Sensitivity_Price and Survival'!$C44-TOTAL_COSTS)</f>
        <v>73097.394833333339</v>
      </c>
      <c r="N44" s="1">
        <f>(Oyster_seed_planted*('Sensitivity_Price and Survival'!N$30/100)*'Sensitivity_Price and Survival'!$C44-TOTAL_COSTS)</f>
        <v>83566.144833333339</v>
      </c>
    </row>
    <row r="45" spans="2:14" x14ac:dyDescent="0.25">
      <c r="B45" s="131"/>
      <c r="C45" s="8">
        <f t="shared" si="7"/>
        <v>0.7</v>
      </c>
      <c r="D45" s="1">
        <f>(Oyster_seed_planted*('Sensitivity_Price and Survival'!D$30/100)*'Sensitivity_Price and Survival'!$C45-TOTAL_COSTS)</f>
        <v>-16902.605166666661</v>
      </c>
      <c r="E45" s="1">
        <f>(Oyster_seed_planted*('Sensitivity_Price and Survival'!E$30/100)*'Sensitivity_Price and Survival'!$C45-TOTAL_COSTS)</f>
        <v>-5965.1051666666608</v>
      </c>
      <c r="F45" s="1">
        <f>(Oyster_seed_planted*('Sensitivity_Price and Survival'!F$30/100)*'Sensitivity_Price and Survival'!$C45-TOTAL_COSTS)</f>
        <v>4972.3948333333246</v>
      </c>
      <c r="G45" s="1">
        <f>(Oyster_seed_planted*('Sensitivity_Price and Survival'!G$30/100)*'Sensitivity_Price and Survival'!$C45-TOTAL_COSTS)</f>
        <v>15909.894833333339</v>
      </c>
      <c r="H45" s="1">
        <f>(Oyster_seed_planted*('Sensitivity_Price and Survival'!H$30/100)*'Sensitivity_Price and Survival'!$C45-TOTAL_COSTS)</f>
        <v>26847.394833333339</v>
      </c>
      <c r="I45" s="1">
        <f>(Oyster_seed_planted*('Sensitivity_Price and Survival'!I$30/100)*'Sensitivity_Price and Survival'!$C45-TOTAL_COSTS)</f>
        <v>37784.894833333339</v>
      </c>
      <c r="J45" s="1">
        <f>(Oyster_seed_planted*('Sensitivity_Price and Survival'!J$30/100)*'Sensitivity_Price and Survival'!$C45-TOTAL_COSTS)</f>
        <v>48722.394833333339</v>
      </c>
      <c r="K45" s="1">
        <f>(Oyster_seed_planted*('Sensitivity_Price and Survival'!K$30/100)*'Sensitivity_Price and Survival'!$C45-TOTAL_COSTS)</f>
        <v>59659.894833333339</v>
      </c>
      <c r="L45" s="1">
        <f>(Oyster_seed_planted*('Sensitivity_Price and Survival'!L$30/100)*'Sensitivity_Price and Survival'!$C45-TOTAL_COSTS)</f>
        <v>70597.394833333339</v>
      </c>
      <c r="M45" s="1">
        <f>(Oyster_seed_planted*('Sensitivity_Price and Survival'!M$30/100)*'Sensitivity_Price and Survival'!$C45-TOTAL_COSTS)</f>
        <v>81534.894833333339</v>
      </c>
      <c r="N45" s="1">
        <f>(Oyster_seed_planted*('Sensitivity_Price and Survival'!N$30/100)*'Sensitivity_Price and Survival'!$C45-TOTAL_COSTS)</f>
        <v>92472.394833333339</v>
      </c>
    </row>
    <row r="46" spans="2:14" x14ac:dyDescent="0.25">
      <c r="B46" s="131"/>
      <c r="C46" s="8">
        <f t="shared" si="7"/>
        <v>0.74</v>
      </c>
      <c r="D46" s="1">
        <f>(Oyster_seed_planted*('Sensitivity_Price and Survival'!D$30/100)*'Sensitivity_Price and Survival'!$C46-TOTAL_COSTS)</f>
        <v>-11277.605166666661</v>
      </c>
      <c r="E46" s="1">
        <f>(Oyster_seed_planted*('Sensitivity_Price and Survival'!E$30/100)*'Sensitivity_Price and Survival'!$C46-TOTAL_COSTS)</f>
        <v>284.89483333333919</v>
      </c>
      <c r="F46" s="1">
        <f>(Oyster_seed_planted*('Sensitivity_Price and Survival'!F$30/100)*'Sensitivity_Price and Survival'!$C46-TOTAL_COSTS)</f>
        <v>11847.394833333339</v>
      </c>
      <c r="G46" s="1">
        <f>(Oyster_seed_planted*('Sensitivity_Price and Survival'!G$30/100)*'Sensitivity_Price and Survival'!$C46-TOTAL_COSTS)</f>
        <v>23409.894833333339</v>
      </c>
      <c r="H46" s="1">
        <f>(Oyster_seed_planted*('Sensitivity_Price and Survival'!H$30/100)*'Sensitivity_Price and Survival'!$C46-TOTAL_COSTS)</f>
        <v>34972.394833333339</v>
      </c>
      <c r="I46" s="1">
        <f>(Oyster_seed_planted*('Sensitivity_Price and Survival'!I$30/100)*'Sensitivity_Price and Survival'!$C46-TOTAL_COSTS)</f>
        <v>46534.894833333339</v>
      </c>
      <c r="J46" s="1">
        <f>(Oyster_seed_planted*('Sensitivity_Price and Survival'!J$30/100)*'Sensitivity_Price and Survival'!$C46-TOTAL_COSTS)</f>
        <v>58097.394833333339</v>
      </c>
      <c r="K46" s="1">
        <f>(Oyster_seed_planted*('Sensitivity_Price and Survival'!K$30/100)*'Sensitivity_Price and Survival'!$C46-TOTAL_COSTS)</f>
        <v>69659.894833333339</v>
      </c>
      <c r="L46" s="1">
        <f>(Oyster_seed_planted*('Sensitivity_Price and Survival'!L$30/100)*'Sensitivity_Price and Survival'!$C46-TOTAL_COSTS)</f>
        <v>81222.394833333339</v>
      </c>
      <c r="M46" s="1">
        <f>(Oyster_seed_planted*('Sensitivity_Price and Survival'!M$30/100)*'Sensitivity_Price and Survival'!$C46-TOTAL_COSTS)</f>
        <v>92784.894833333339</v>
      </c>
      <c r="N46" s="1">
        <f>(Oyster_seed_planted*('Sensitivity_Price and Survival'!N$30/100)*'Sensitivity_Price and Survival'!$C46-TOTAL_COSTS)</f>
        <v>104347.39483333334</v>
      </c>
    </row>
    <row r="47" spans="2:14" x14ac:dyDescent="0.25">
      <c r="B47" s="131"/>
      <c r="C47" s="8">
        <f t="shared" si="7"/>
        <v>0.78</v>
      </c>
      <c r="D47" s="1">
        <f>(Oyster_seed_planted*('Sensitivity_Price and Survival'!D$30/100)*'Sensitivity_Price and Survival'!$C47-TOTAL_COSTS)</f>
        <v>-5652.6051666666608</v>
      </c>
      <c r="E47" s="1">
        <f>(Oyster_seed_planted*('Sensitivity_Price and Survival'!E$30/100)*'Sensitivity_Price and Survival'!$C47-TOTAL_COSTS)</f>
        <v>6534.8948333333392</v>
      </c>
      <c r="F47" s="1">
        <f>(Oyster_seed_planted*('Sensitivity_Price and Survival'!F$30/100)*'Sensitivity_Price and Survival'!$C47-TOTAL_COSTS)</f>
        <v>18722.394833333339</v>
      </c>
      <c r="G47" s="1">
        <f>(Oyster_seed_planted*('Sensitivity_Price and Survival'!G$30/100)*'Sensitivity_Price and Survival'!$C47-TOTAL_COSTS)</f>
        <v>30909.894833333339</v>
      </c>
      <c r="H47" s="1">
        <f>(Oyster_seed_planted*('Sensitivity_Price and Survival'!H$30/100)*'Sensitivity_Price and Survival'!$C47-TOTAL_COSTS)</f>
        <v>43097.394833333339</v>
      </c>
      <c r="I47" s="1">
        <f>(Oyster_seed_planted*('Sensitivity_Price and Survival'!I$30/100)*'Sensitivity_Price and Survival'!$C47-TOTAL_COSTS)</f>
        <v>55284.894833333339</v>
      </c>
      <c r="J47" s="1">
        <f>(Oyster_seed_planted*('Sensitivity_Price and Survival'!J$30/100)*'Sensitivity_Price and Survival'!$C47-TOTAL_COSTS)</f>
        <v>67472.394833333339</v>
      </c>
      <c r="K47" s="1">
        <f>(Oyster_seed_planted*('Sensitivity_Price and Survival'!K$30/100)*'Sensitivity_Price and Survival'!$C47-TOTAL_COSTS)</f>
        <v>79659.894833333339</v>
      </c>
      <c r="L47" s="1">
        <f>(Oyster_seed_planted*('Sensitivity_Price and Survival'!L$30/100)*'Sensitivity_Price and Survival'!$C47-TOTAL_COSTS)</f>
        <v>91847.394833333339</v>
      </c>
      <c r="M47" s="1">
        <f>(Oyster_seed_planted*('Sensitivity_Price and Survival'!M$30/100)*'Sensitivity_Price and Survival'!$C47-TOTAL_COSTS)</f>
        <v>104034.89483333334</v>
      </c>
      <c r="N47" s="1">
        <f>(Oyster_seed_planted*('Sensitivity_Price and Survival'!N$30/100)*'Sensitivity_Price and Survival'!$C47-TOTAL_COSTS)</f>
        <v>116222.39483333334</v>
      </c>
    </row>
    <row r="48" spans="2:14" x14ac:dyDescent="0.25">
      <c r="B48" s="131"/>
      <c r="C48" s="8">
        <f t="shared" si="7"/>
        <v>0.82</v>
      </c>
      <c r="D48" s="1">
        <f>(Oyster_seed_planted*('Sensitivity_Price and Survival'!D$30/100)*'Sensitivity_Price and Survival'!$C48-TOTAL_COSTS)</f>
        <v>-27.605166666660807</v>
      </c>
      <c r="E48" s="1">
        <f>(Oyster_seed_planted*('Sensitivity_Price and Survival'!E$30/100)*'Sensitivity_Price and Survival'!$C48-TOTAL_COSTS)</f>
        <v>12784.894833333325</v>
      </c>
      <c r="F48" s="1">
        <f>(Oyster_seed_planted*('Sensitivity_Price and Survival'!F$30/100)*'Sensitivity_Price and Survival'!$C48-TOTAL_COSTS)</f>
        <v>25597.394833333339</v>
      </c>
      <c r="G48" s="1">
        <f>(Oyster_seed_planted*('Sensitivity_Price and Survival'!G$30/100)*'Sensitivity_Price and Survival'!$C48-TOTAL_COSTS)</f>
        <v>38409.894833333339</v>
      </c>
      <c r="H48" s="1">
        <f>(Oyster_seed_planted*('Sensitivity_Price and Survival'!H$30/100)*'Sensitivity_Price and Survival'!$C48-TOTAL_COSTS)</f>
        <v>51222.394833333339</v>
      </c>
      <c r="I48" s="1">
        <f>(Oyster_seed_planted*('Sensitivity_Price and Survival'!I$30/100)*'Sensitivity_Price and Survival'!$C48-TOTAL_COSTS)</f>
        <v>64034.894833333339</v>
      </c>
      <c r="J48" s="1">
        <f>(Oyster_seed_planted*('Sensitivity_Price and Survival'!J$30/100)*'Sensitivity_Price and Survival'!$C48-TOTAL_COSTS)</f>
        <v>76847.394833333339</v>
      </c>
      <c r="K48" s="1">
        <f>(Oyster_seed_planted*('Sensitivity_Price and Survival'!K$30/100)*'Sensitivity_Price and Survival'!$C48-TOTAL_COSTS)</f>
        <v>89659.894833333339</v>
      </c>
      <c r="L48" s="1">
        <f>(Oyster_seed_planted*('Sensitivity_Price and Survival'!L$30/100)*'Sensitivity_Price and Survival'!$C48-TOTAL_COSTS)</f>
        <v>102472.39483333334</v>
      </c>
      <c r="M48" s="1">
        <f>(Oyster_seed_planted*('Sensitivity_Price and Survival'!M$30/100)*'Sensitivity_Price and Survival'!$C48-TOTAL_COSTS)</f>
        <v>115284.89483333334</v>
      </c>
      <c r="N48" s="1">
        <f>(Oyster_seed_planted*('Sensitivity_Price and Survival'!N$30/100)*'Sensitivity_Price and Survival'!$C48-TOTAL_COSTS)</f>
        <v>128097.39483333334</v>
      </c>
    </row>
  </sheetData>
  <sheetProtection algorithmName="SHA-512" hashValue="WNZDBs8KwcZzs2BPz1F/RaZ9V4/kPonJlZyTkFLul7UhbfscfXFK+9BtYUcHbIC9BFNzt+9kl9DB62RmBdL59Q==" saltValue="f2jd+33CNSbd7bZ00irp9w==" spinCount="100000" sheet="1" objects="1" scenarios="1"/>
  <mergeCells count="7">
    <mergeCell ref="B1:N1"/>
    <mergeCell ref="B27:N27"/>
    <mergeCell ref="D29:N29"/>
    <mergeCell ref="B30:B48"/>
    <mergeCell ref="B3:N3"/>
    <mergeCell ref="D5:N5"/>
    <mergeCell ref="B6:B24"/>
  </mergeCells>
  <conditionalFormatting sqref="D7:N24">
    <cfRule type="cellIs" dxfId="2" priority="3" operator="lessThan">
      <formula>0</formula>
    </cfRule>
  </conditionalFormatting>
  <conditionalFormatting sqref="D31:N48">
    <cfRule type="cellIs" dxfId="1" priority="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BFD19-7233-42AF-B9A5-CE2988663EC6}">
  <dimension ref="A1:Q25"/>
  <sheetViews>
    <sheetView zoomScaleNormal="100" workbookViewId="0"/>
  </sheetViews>
  <sheetFormatPr defaultColWidth="8.85546875" defaultRowHeight="15" x14ac:dyDescent="0.25"/>
  <cols>
    <col min="9" max="9" width="11.42578125" bestFit="1" customWidth="1"/>
    <col min="10" max="10" width="11.28515625" bestFit="1" customWidth="1"/>
    <col min="17" max="17" width="10.140625" bestFit="1" customWidth="1"/>
  </cols>
  <sheetData>
    <row r="1" spans="1:17" ht="52.35" customHeight="1" x14ac:dyDescent="0.25">
      <c r="A1" s="114"/>
      <c r="B1" s="132" t="s">
        <v>103</v>
      </c>
      <c r="C1" s="133"/>
      <c r="D1" s="133"/>
      <c r="E1" s="133"/>
      <c r="F1" s="133"/>
      <c r="G1" s="133"/>
      <c r="H1" s="133"/>
      <c r="I1" s="133"/>
      <c r="J1" s="133"/>
      <c r="K1" s="133"/>
      <c r="L1" s="133"/>
      <c r="M1" s="133"/>
      <c r="N1" s="133"/>
    </row>
    <row r="3" spans="1:17" ht="18.75" x14ac:dyDescent="0.3">
      <c r="B3" s="128" t="s">
        <v>70</v>
      </c>
      <c r="C3" s="129"/>
      <c r="D3" s="129"/>
      <c r="E3" s="129"/>
      <c r="F3" s="129"/>
      <c r="G3" s="129"/>
      <c r="H3" s="129"/>
      <c r="I3" s="129"/>
      <c r="J3" s="129"/>
      <c r="K3" s="129"/>
      <c r="L3" s="129"/>
      <c r="M3" s="129"/>
      <c r="N3" s="129"/>
    </row>
    <row r="5" spans="1:17" ht="18.75" x14ac:dyDescent="0.3">
      <c r="B5" s="5"/>
      <c r="C5" s="5"/>
      <c r="D5" s="130" t="s">
        <v>92</v>
      </c>
      <c r="E5" s="130"/>
      <c r="F5" s="130"/>
      <c r="G5" s="130"/>
      <c r="H5" s="130"/>
      <c r="I5" s="130"/>
      <c r="J5" s="130"/>
      <c r="K5" s="130"/>
      <c r="L5" s="130"/>
      <c r="M5" s="130"/>
      <c r="N5" s="130"/>
    </row>
    <row r="6" spans="1:17" ht="15.75" x14ac:dyDescent="0.25">
      <c r="B6" s="5"/>
      <c r="C6" s="5"/>
      <c r="D6" s="15">
        <f>ROUND($I$6+$I$6*D7,2)</f>
        <v>45213</v>
      </c>
      <c r="E6" s="15">
        <f t="shared" ref="E6:H6" si="0">ROUND($I$6+$I$6*E7,2)</f>
        <v>48227.199999999997</v>
      </c>
      <c r="F6" s="15">
        <f t="shared" si="0"/>
        <v>51241.4</v>
      </c>
      <c r="G6" s="15">
        <f t="shared" si="0"/>
        <v>54255.6</v>
      </c>
      <c r="H6" s="15">
        <f t="shared" si="0"/>
        <v>57269.8</v>
      </c>
      <c r="I6" s="15">
        <f>Labor_Costs</f>
        <v>60284</v>
      </c>
      <c r="J6" s="15">
        <f>ROUND($I$6+$I$6*J7,2)</f>
        <v>63298.2</v>
      </c>
      <c r="K6" s="15">
        <f t="shared" ref="K6:N6" si="1">ROUND($I$6+$I$6*K7,2)</f>
        <v>66312.399999999994</v>
      </c>
      <c r="L6" s="15">
        <f t="shared" si="1"/>
        <v>69326.600000000006</v>
      </c>
      <c r="M6" s="15">
        <f t="shared" si="1"/>
        <v>72340.800000000003</v>
      </c>
      <c r="N6" s="15">
        <f t="shared" si="1"/>
        <v>75355</v>
      </c>
      <c r="Q6" s="16"/>
    </row>
    <row r="7" spans="1:17" x14ac:dyDescent="0.25">
      <c r="B7" s="131" t="s">
        <v>69</v>
      </c>
      <c r="C7" s="6"/>
      <c r="D7" s="14">
        <v>-0.25</v>
      </c>
      <c r="E7" s="14">
        <v>-0.2</v>
      </c>
      <c r="F7" s="14">
        <v>-0.15</v>
      </c>
      <c r="G7" s="14">
        <v>-0.1</v>
      </c>
      <c r="H7" s="14">
        <v>-0.05</v>
      </c>
      <c r="I7" s="7">
        <v>0</v>
      </c>
      <c r="J7" s="14">
        <v>0.05</v>
      </c>
      <c r="K7" s="14">
        <v>0.1</v>
      </c>
      <c r="L7" s="14">
        <v>0.15</v>
      </c>
      <c r="M7" s="14">
        <v>0.2</v>
      </c>
      <c r="N7" s="14">
        <v>0.25</v>
      </c>
    </row>
    <row r="8" spans="1:17" x14ac:dyDescent="0.25">
      <c r="B8" s="131"/>
      <c r="C8" s="8">
        <f>ROUND(C9-C9*0.05,2)</f>
        <v>0.35</v>
      </c>
      <c r="D8" s="12">
        <f>(Oyster_seed_planted*(Survival/100)*$C8-(TOTAL_COSTS__MINUS_LABOR+(Labor_Costs+Labor_Costs*('Sensitivity_Price and Labor'!D$7))))/Budget!$D$5</f>
        <v>-7.7814848711111093E-2</v>
      </c>
      <c r="E8" s="12">
        <f>(Oyster_seed_planted*(Survival/100)*$C8-(TOTAL_COSTS__MINUS_LABOR+(Labor_Costs+Labor_Costs*('Sensitivity_Price and Labor'!E$7))))/Budget!$D$5</f>
        <v>-9.0675435377777738E-2</v>
      </c>
      <c r="F8" s="12">
        <f>(Oyster_seed_planted*(Survival/100)*$C8-(TOTAL_COSTS__MINUS_LABOR+(Labor_Costs+Labor_Costs*('Sensitivity_Price and Labor'!F$7))))/Budget!$D$5</f>
        <v>-0.10353602204444445</v>
      </c>
      <c r="G8" s="12">
        <f>(Oyster_seed_planted*(Survival/100)*$C8-(TOTAL_COSTS__MINUS_LABOR+(Labor_Costs+Labor_Costs*('Sensitivity_Price and Labor'!G$7))))/Budget!$D$5</f>
        <v>-0.11639660871111104</v>
      </c>
      <c r="H8" s="12">
        <f>(Oyster_seed_planted*(Survival/100)*$C8-(TOTAL_COSTS__MINUS_LABOR+(Labor_Costs+Labor_Costs*('Sensitivity_Price and Labor'!H$7))))/Budget!$D$5</f>
        <v>-0.12925719537777777</v>
      </c>
      <c r="I8" s="12">
        <f>(Oyster_seed_planted*(Survival/100)*$C8-(TOTAL_COSTS__MINUS_LABOR+(Labor_Costs+Labor_Costs*('Sensitivity_Price and Labor'!I$7))))/Budget!$D$5</f>
        <v>-0.14211778204444442</v>
      </c>
      <c r="J8" s="12">
        <f>(Oyster_seed_planted*(Survival/100)*$C8-(TOTAL_COSTS__MINUS_LABOR+(Labor_Costs+Labor_Costs*('Sensitivity_Price and Labor'!J$7))))/Budget!$D$5</f>
        <v>-0.15497836871111106</v>
      </c>
      <c r="K8" s="12">
        <f>(Oyster_seed_planted*(Survival/100)*$C8-(TOTAL_COSTS__MINUS_LABOR+(Labor_Costs+Labor_Costs*('Sensitivity_Price and Labor'!K$7))))/Budget!$D$5</f>
        <v>-0.16783895537777774</v>
      </c>
      <c r="L8" s="12">
        <f>(Oyster_seed_planted*(Survival/100)*$C8-(TOTAL_COSTS__MINUS_LABOR+(Labor_Costs+Labor_Costs*('Sensitivity_Price and Labor'!L$7))))/Budget!$D$5</f>
        <v>-0.18069954204444444</v>
      </c>
      <c r="M8" s="12">
        <f>(Oyster_seed_planted*(Survival/100)*$C8-(TOTAL_COSTS__MINUS_LABOR+(Labor_Costs+Labor_Costs*('Sensitivity_Price and Labor'!M$7))))/Budget!$D$5</f>
        <v>-0.19356012871111111</v>
      </c>
      <c r="N8" s="12">
        <f>(Oyster_seed_planted*(Survival/100)*$C8-(TOTAL_COSTS__MINUS_LABOR+(Labor_Costs+Labor_Costs*('Sensitivity_Price and Labor'!N$7))))/Budget!$D$5</f>
        <v>-0.20642071537777776</v>
      </c>
    </row>
    <row r="9" spans="1:17" x14ac:dyDescent="0.25">
      <c r="B9" s="131"/>
      <c r="C9" s="8">
        <f>ROUND(C10-C10*0.05,2)</f>
        <v>0.37</v>
      </c>
      <c r="D9" s="12">
        <f>(Oyster_seed_planted*(Survival/100)*$C9-(TOTAL_COSTS__MINUS_LABOR+(Labor_Costs+Labor_Costs*('Sensitivity_Price and Labor'!D$7))))/Budget!$D$5</f>
        <v>-5.7814848711111089E-2</v>
      </c>
      <c r="E9" s="12">
        <f>(Oyster_seed_planted*(Survival/100)*$C9-(TOTAL_COSTS__MINUS_LABOR+(Labor_Costs+Labor_Costs*('Sensitivity_Price and Labor'!E$7))))/Budget!$D$5</f>
        <v>-7.0675435377777734E-2</v>
      </c>
      <c r="F9" s="12">
        <f>(Oyster_seed_planted*(Survival/100)*$C9-(TOTAL_COSTS__MINUS_LABOR+(Labor_Costs+Labor_Costs*('Sensitivity_Price and Labor'!F$7))))/Budget!$D$5</f>
        <v>-8.3536022044444463E-2</v>
      </c>
      <c r="G9" s="12">
        <f>(Oyster_seed_planted*(Survival/100)*$C9-(TOTAL_COSTS__MINUS_LABOR+(Labor_Costs+Labor_Costs*('Sensitivity_Price and Labor'!G$7))))/Budget!$D$5</f>
        <v>-9.6396608711111054E-2</v>
      </c>
      <c r="H9" s="12">
        <f>(Oyster_seed_planted*(Survival/100)*$C9-(TOTAL_COSTS__MINUS_LABOR+(Labor_Costs+Labor_Costs*('Sensitivity_Price and Labor'!H$7))))/Budget!$D$5</f>
        <v>-0.10925719537777777</v>
      </c>
      <c r="I9" s="12">
        <f>(Oyster_seed_planted*(Survival/100)*$C9-(TOTAL_COSTS__MINUS_LABOR+(Labor_Costs+Labor_Costs*('Sensitivity_Price and Labor'!I$7))))/Budget!$D$5</f>
        <v>-0.12211778204444441</v>
      </c>
      <c r="J9" s="12">
        <f>(Oyster_seed_planted*(Survival/100)*$C9-(TOTAL_COSTS__MINUS_LABOR+(Labor_Costs+Labor_Costs*('Sensitivity_Price and Labor'!J$7))))/Budget!$D$5</f>
        <v>-0.13497836871111107</v>
      </c>
      <c r="K9" s="12">
        <f>(Oyster_seed_planted*(Survival/100)*$C9-(TOTAL_COSTS__MINUS_LABOR+(Labor_Costs+Labor_Costs*('Sensitivity_Price and Labor'!K$7))))/Budget!$D$5</f>
        <v>-0.14783895537777772</v>
      </c>
      <c r="L9" s="12">
        <f>(Oyster_seed_planted*(Survival/100)*$C9-(TOTAL_COSTS__MINUS_LABOR+(Labor_Costs+Labor_Costs*('Sensitivity_Price and Labor'!L$7))))/Budget!$D$5</f>
        <v>-0.16069954204444445</v>
      </c>
      <c r="M9" s="12">
        <f>(Oyster_seed_planted*(Survival/100)*$C9-(TOTAL_COSTS__MINUS_LABOR+(Labor_Costs+Labor_Costs*('Sensitivity_Price and Labor'!M$7))))/Budget!$D$5</f>
        <v>-0.17356012871111109</v>
      </c>
      <c r="N9" s="12">
        <f>(Oyster_seed_planted*(Survival/100)*$C9-(TOTAL_COSTS__MINUS_LABOR+(Labor_Costs+Labor_Costs*('Sensitivity_Price and Labor'!N$7))))/Budget!$D$5</f>
        <v>-0.18642071537777774</v>
      </c>
    </row>
    <row r="10" spans="1:17" x14ac:dyDescent="0.25">
      <c r="B10" s="131"/>
      <c r="C10" s="8">
        <f t="shared" ref="C10:C16" si="2">ROUND(C11-C11*0.05,2)</f>
        <v>0.39</v>
      </c>
      <c r="D10" s="12">
        <f>(Oyster_seed_planted*(Survival/100)*$C10-(TOTAL_COSTS__MINUS_LABOR+(Labor_Costs+Labor_Costs*('Sensitivity_Price and Labor'!D$7))))/Budget!$D$5</f>
        <v>-3.7814848711111085E-2</v>
      </c>
      <c r="E10" s="12">
        <f>(Oyster_seed_planted*(Survival/100)*$C10-(TOTAL_COSTS__MINUS_LABOR+(Labor_Costs+Labor_Costs*('Sensitivity_Price and Labor'!E$7))))/Budget!$D$5</f>
        <v>-5.0675435377777737E-2</v>
      </c>
      <c r="F10" s="12">
        <f>(Oyster_seed_planted*(Survival/100)*$C10-(TOTAL_COSTS__MINUS_LABOR+(Labor_Costs+Labor_Costs*('Sensitivity_Price and Labor'!F$7))))/Budget!$D$5</f>
        <v>-6.353602204444446E-2</v>
      </c>
      <c r="G10" s="12">
        <f>(Oyster_seed_planted*(Survival/100)*$C10-(TOTAL_COSTS__MINUS_LABOR+(Labor_Costs+Labor_Costs*('Sensitivity_Price and Labor'!G$7))))/Budget!$D$5</f>
        <v>-7.639660871111105E-2</v>
      </c>
      <c r="H10" s="12">
        <f>(Oyster_seed_planted*(Survival/100)*$C10-(TOTAL_COSTS__MINUS_LABOR+(Labor_Costs+Labor_Costs*('Sensitivity_Price and Labor'!H$7))))/Budget!$D$5</f>
        <v>-8.9257195377777765E-2</v>
      </c>
      <c r="I10" s="12">
        <f>(Oyster_seed_planted*(Survival/100)*$C10-(TOTAL_COSTS__MINUS_LABOR+(Labor_Costs+Labor_Costs*('Sensitivity_Price and Labor'!I$7))))/Budget!$D$5</f>
        <v>-0.10211778204444442</v>
      </c>
      <c r="J10" s="12">
        <f>(Oyster_seed_planted*(Survival/100)*$C10-(TOTAL_COSTS__MINUS_LABOR+(Labor_Costs+Labor_Costs*('Sensitivity_Price and Labor'!J$7))))/Budget!$D$5</f>
        <v>-0.11497836871111107</v>
      </c>
      <c r="K10" s="12">
        <f>(Oyster_seed_planted*(Survival/100)*$C10-(TOTAL_COSTS__MINUS_LABOR+(Labor_Costs+Labor_Costs*('Sensitivity_Price and Labor'!K$7))))/Budget!$D$5</f>
        <v>-0.12783895537777773</v>
      </c>
      <c r="L10" s="12">
        <f>(Oyster_seed_planted*(Survival/100)*$C10-(TOTAL_COSTS__MINUS_LABOR+(Labor_Costs+Labor_Costs*('Sensitivity_Price and Labor'!L$7))))/Budget!$D$5</f>
        <v>-0.14069954204444443</v>
      </c>
      <c r="M10" s="12">
        <f>(Oyster_seed_planted*(Survival/100)*$C10-(TOTAL_COSTS__MINUS_LABOR+(Labor_Costs+Labor_Costs*('Sensitivity_Price and Labor'!M$7))))/Budget!$D$5</f>
        <v>-0.1535601287111111</v>
      </c>
      <c r="N10" s="12">
        <f>(Oyster_seed_planted*(Survival/100)*$C10-(TOTAL_COSTS__MINUS_LABOR+(Labor_Costs+Labor_Costs*('Sensitivity_Price and Labor'!N$7))))/Budget!$D$5</f>
        <v>-0.16642071537777775</v>
      </c>
    </row>
    <row r="11" spans="1:17" x14ac:dyDescent="0.25">
      <c r="B11" s="131"/>
      <c r="C11" s="8">
        <f t="shared" si="2"/>
        <v>0.41</v>
      </c>
      <c r="D11" s="12">
        <f>(Oyster_seed_planted*(Survival/100)*$C11-(TOTAL_COSTS__MINUS_LABOR+(Labor_Costs+Labor_Costs*('Sensitivity_Price and Labor'!D$7))))/Budget!$D$5</f>
        <v>-1.7814848711111084E-2</v>
      </c>
      <c r="E11" s="12">
        <f>(Oyster_seed_planted*(Survival/100)*$C11-(TOTAL_COSTS__MINUS_LABOR+(Labor_Costs+Labor_Costs*('Sensitivity_Price and Labor'!E$7))))/Budget!$D$5</f>
        <v>-3.0675435377777741E-2</v>
      </c>
      <c r="F11" s="12">
        <f>(Oyster_seed_planted*(Survival/100)*$C11-(TOTAL_COSTS__MINUS_LABOR+(Labor_Costs+Labor_Costs*('Sensitivity_Price and Labor'!F$7))))/Budget!$D$5</f>
        <v>-4.3536022044444456E-2</v>
      </c>
      <c r="G11" s="12">
        <f>(Oyster_seed_planted*(Survival/100)*$C11-(TOTAL_COSTS__MINUS_LABOR+(Labor_Costs+Labor_Costs*('Sensitivity_Price and Labor'!G$7))))/Budget!$D$5</f>
        <v>-5.6396608711111046E-2</v>
      </c>
      <c r="H11" s="12">
        <f>(Oyster_seed_planted*(Survival/100)*$C11-(TOTAL_COSTS__MINUS_LABOR+(Labor_Costs+Labor_Costs*('Sensitivity_Price and Labor'!H$7))))/Budget!$D$5</f>
        <v>-6.9257195377777761E-2</v>
      </c>
      <c r="I11" s="12">
        <f>(Oyster_seed_planted*(Survival/100)*$C11-(TOTAL_COSTS__MINUS_LABOR+(Labor_Costs+Labor_Costs*('Sensitivity_Price and Labor'!I$7))))/Budget!$D$5</f>
        <v>-8.2117782044444421E-2</v>
      </c>
      <c r="J11" s="12">
        <f>(Oyster_seed_planted*(Survival/100)*$C11-(TOTAL_COSTS__MINUS_LABOR+(Labor_Costs+Labor_Costs*('Sensitivity_Price and Labor'!J$7))))/Budget!$D$5</f>
        <v>-9.497836871111108E-2</v>
      </c>
      <c r="K11" s="12">
        <f>(Oyster_seed_planted*(Survival/100)*$C11-(TOTAL_COSTS__MINUS_LABOR+(Labor_Costs+Labor_Costs*('Sensitivity_Price and Labor'!K$7))))/Budget!$D$5</f>
        <v>-0.10783895537777773</v>
      </c>
      <c r="L11" s="12">
        <f>(Oyster_seed_planted*(Survival/100)*$C11-(TOTAL_COSTS__MINUS_LABOR+(Labor_Costs+Labor_Costs*('Sensitivity_Price and Labor'!L$7))))/Budget!$D$5</f>
        <v>-0.12069954204444444</v>
      </c>
      <c r="M11" s="12">
        <f>(Oyster_seed_planted*(Survival/100)*$C11-(TOTAL_COSTS__MINUS_LABOR+(Labor_Costs+Labor_Costs*('Sensitivity_Price and Labor'!M$7))))/Budget!$D$5</f>
        <v>-0.13356012871111109</v>
      </c>
      <c r="N11" s="12">
        <f>(Oyster_seed_planted*(Survival/100)*$C11-(TOTAL_COSTS__MINUS_LABOR+(Labor_Costs+Labor_Costs*('Sensitivity_Price and Labor'!N$7))))/Budget!$D$5</f>
        <v>-0.14642071537777776</v>
      </c>
    </row>
    <row r="12" spans="1:17" x14ac:dyDescent="0.25">
      <c r="B12" s="131"/>
      <c r="C12" s="8">
        <f t="shared" si="2"/>
        <v>0.43</v>
      </c>
      <c r="D12" s="12">
        <f>(Oyster_seed_planted*(Survival/100)*$C12-(TOTAL_COSTS__MINUS_LABOR+(Labor_Costs+Labor_Costs*('Sensitivity_Price and Labor'!D$7))))/Budget!$D$5</f>
        <v>2.1851512888889139E-3</v>
      </c>
      <c r="E12" s="12">
        <f>(Oyster_seed_planted*(Survival/100)*$C12-(TOTAL_COSTS__MINUS_LABOR+(Labor_Costs+Labor_Costs*('Sensitivity_Price and Labor'!E$7))))/Budget!$D$5</f>
        <v>-1.067543537777774E-2</v>
      </c>
      <c r="F12" s="12">
        <f>(Oyster_seed_planted*(Survival/100)*$C12-(TOTAL_COSTS__MINUS_LABOR+(Labor_Costs+Labor_Costs*('Sensitivity_Price and Labor'!F$7))))/Budget!$D$5</f>
        <v>-2.3536022044444455E-2</v>
      </c>
      <c r="G12" s="12">
        <f>(Oyster_seed_planted*(Survival/100)*$C12-(TOTAL_COSTS__MINUS_LABOR+(Labor_Costs+Labor_Costs*('Sensitivity_Price and Labor'!G$7))))/Budget!$D$5</f>
        <v>-3.6396608711111049E-2</v>
      </c>
      <c r="H12" s="12">
        <f>(Oyster_seed_planted*(Survival/100)*$C12-(TOTAL_COSTS__MINUS_LABOR+(Labor_Costs+Labor_Costs*('Sensitivity_Price and Labor'!H$7))))/Budget!$D$5</f>
        <v>-4.9257195377777764E-2</v>
      </c>
      <c r="I12" s="12">
        <f>(Oyster_seed_planted*(Survival/100)*$C12-(TOTAL_COSTS__MINUS_LABOR+(Labor_Costs+Labor_Costs*('Sensitivity_Price and Labor'!I$7))))/Budget!$D$5</f>
        <v>-6.2117782044444417E-2</v>
      </c>
      <c r="J12" s="12">
        <f>(Oyster_seed_planted*(Survival/100)*$C12-(TOTAL_COSTS__MINUS_LABOR+(Labor_Costs+Labor_Costs*('Sensitivity_Price and Labor'!J$7))))/Budget!$D$5</f>
        <v>-7.4978368711111076E-2</v>
      </c>
      <c r="K12" s="12">
        <f>(Oyster_seed_planted*(Survival/100)*$C12-(TOTAL_COSTS__MINUS_LABOR+(Labor_Costs+Labor_Costs*('Sensitivity_Price and Labor'!K$7))))/Budget!$D$5</f>
        <v>-8.7838955377777722E-2</v>
      </c>
      <c r="L12" s="12">
        <f>(Oyster_seed_planted*(Survival/100)*$C12-(TOTAL_COSTS__MINUS_LABOR+(Labor_Costs+Labor_Costs*('Sensitivity_Price and Labor'!L$7))))/Budget!$D$5</f>
        <v>-0.10069954204444445</v>
      </c>
      <c r="M12" s="12">
        <f>(Oyster_seed_planted*(Survival/100)*$C12-(TOTAL_COSTS__MINUS_LABOR+(Labor_Costs+Labor_Costs*('Sensitivity_Price and Labor'!M$7))))/Budget!$D$5</f>
        <v>-0.1135601287111111</v>
      </c>
      <c r="N12" s="12">
        <f>(Oyster_seed_planted*(Survival/100)*$C12-(TOTAL_COSTS__MINUS_LABOR+(Labor_Costs+Labor_Costs*('Sensitivity_Price and Labor'!N$7))))/Budget!$D$5</f>
        <v>-0.12642071537777774</v>
      </c>
    </row>
    <row r="13" spans="1:17" x14ac:dyDescent="0.25">
      <c r="B13" s="131"/>
      <c r="C13" s="8">
        <f t="shared" si="2"/>
        <v>0.45</v>
      </c>
      <c r="D13" s="12">
        <f>(Oyster_seed_planted*(Survival/100)*$C13-(TOTAL_COSTS__MINUS_LABOR+(Labor_Costs+Labor_Costs*('Sensitivity_Price and Labor'!D$7))))/Budget!$D$5</f>
        <v>2.2185151288888913E-2</v>
      </c>
      <c r="E13" s="12">
        <f>(Oyster_seed_planted*(Survival/100)*$C13-(TOTAL_COSTS__MINUS_LABOR+(Labor_Costs+Labor_Costs*('Sensitivity_Price and Labor'!E$7))))/Budget!$D$5</f>
        <v>9.3245646222222603E-3</v>
      </c>
      <c r="F13" s="12">
        <f>(Oyster_seed_planted*(Survival/100)*$C13-(TOTAL_COSTS__MINUS_LABOR+(Labor_Costs+Labor_Costs*('Sensitivity_Price and Labor'!F$7))))/Budget!$D$5</f>
        <v>-3.5360220444444566E-3</v>
      </c>
      <c r="G13" s="12">
        <f>(Oyster_seed_planted*(Survival/100)*$C13-(TOTAL_COSTS__MINUS_LABOR+(Labor_Costs+Labor_Costs*('Sensitivity_Price and Labor'!G$7))))/Budget!$D$5</f>
        <v>-1.6396608711111049E-2</v>
      </c>
      <c r="H13" s="12">
        <f>(Oyster_seed_planted*(Survival/100)*$C13-(TOTAL_COSTS__MINUS_LABOR+(Labor_Costs+Labor_Costs*('Sensitivity_Price and Labor'!H$7))))/Budget!$D$5</f>
        <v>-2.9257195377777764E-2</v>
      </c>
      <c r="I13" s="12">
        <f>(Oyster_seed_planted*(Survival/100)*$C13-(TOTAL_COSTS__MINUS_LABOR+(Labor_Costs+Labor_Costs*('Sensitivity_Price and Labor'!I$7))))/Budget!$D$5</f>
        <v>-4.211778204444442E-2</v>
      </c>
      <c r="J13" s="12">
        <f>(Oyster_seed_planted*(Survival/100)*$C13-(TOTAL_COSTS__MINUS_LABOR+(Labor_Costs+Labor_Costs*('Sensitivity_Price and Labor'!J$7))))/Budget!$D$5</f>
        <v>-5.4978368711111072E-2</v>
      </c>
      <c r="K13" s="12">
        <f>(Oyster_seed_planted*(Survival/100)*$C13-(TOTAL_COSTS__MINUS_LABOR+(Labor_Costs+Labor_Costs*('Sensitivity_Price and Labor'!K$7))))/Budget!$D$5</f>
        <v>-6.7838955377777732E-2</v>
      </c>
      <c r="L13" s="12">
        <f>(Oyster_seed_planted*(Survival/100)*$C13-(TOTAL_COSTS__MINUS_LABOR+(Labor_Costs+Labor_Costs*('Sensitivity_Price and Labor'!L$7))))/Budget!$D$5</f>
        <v>-8.0699542044444447E-2</v>
      </c>
      <c r="M13" s="12">
        <f>(Oyster_seed_planted*(Survival/100)*$C13-(TOTAL_COSTS__MINUS_LABOR+(Labor_Costs+Labor_Costs*('Sensitivity_Price and Labor'!M$7))))/Budget!$D$5</f>
        <v>-9.3560128711111093E-2</v>
      </c>
      <c r="N13" s="12">
        <f>(Oyster_seed_planted*(Survival/100)*$C13-(TOTAL_COSTS__MINUS_LABOR+(Labor_Costs+Labor_Costs*('Sensitivity_Price and Labor'!N$7))))/Budget!$D$5</f>
        <v>-0.10642071537777775</v>
      </c>
    </row>
    <row r="14" spans="1:17" x14ac:dyDescent="0.25">
      <c r="B14" s="131"/>
      <c r="C14" s="8">
        <f t="shared" si="2"/>
        <v>0.47</v>
      </c>
      <c r="D14" s="12">
        <f>(Oyster_seed_planted*(Survival/100)*$C14-(TOTAL_COSTS__MINUS_LABOR+(Labor_Costs+Labor_Costs*('Sensitivity_Price and Labor'!D$7))))/Budget!$D$5</f>
        <v>4.2185151288888917E-2</v>
      </c>
      <c r="E14" s="12">
        <f>(Oyster_seed_planted*(Survival/100)*$C14-(TOTAL_COSTS__MINUS_LABOR+(Labor_Costs+Labor_Costs*('Sensitivity_Price and Labor'!E$7))))/Budget!$D$5</f>
        <v>2.9324564622222261E-2</v>
      </c>
      <c r="F14" s="12">
        <f>(Oyster_seed_planted*(Survival/100)*$C14-(TOTAL_COSTS__MINUS_LABOR+(Labor_Costs+Labor_Costs*('Sensitivity_Price and Labor'!F$7))))/Budget!$D$5</f>
        <v>1.6463977955555542E-2</v>
      </c>
      <c r="G14" s="12">
        <f>(Oyster_seed_planted*(Survival/100)*$C14-(TOTAL_COSTS__MINUS_LABOR+(Labor_Costs+Labor_Costs*('Sensitivity_Price and Labor'!G$7))))/Budget!$D$5</f>
        <v>3.603391288888951E-3</v>
      </c>
      <c r="H14" s="12">
        <f>(Oyster_seed_planted*(Survival/100)*$C14-(TOTAL_COSTS__MINUS_LABOR+(Labor_Costs+Labor_Costs*('Sensitivity_Price and Labor'!H$7))))/Budget!$D$5</f>
        <v>-9.257195377777765E-3</v>
      </c>
      <c r="I14" s="12">
        <f>(Oyster_seed_planted*(Survival/100)*$C14-(TOTAL_COSTS__MINUS_LABOR+(Labor_Costs+Labor_Costs*('Sensitivity_Price and Labor'!I$7))))/Budget!$D$5</f>
        <v>-2.2117782044444419E-2</v>
      </c>
      <c r="J14" s="12">
        <f>(Oyster_seed_planted*(Survival/100)*$C14-(TOTAL_COSTS__MINUS_LABOR+(Labor_Costs+Labor_Costs*('Sensitivity_Price and Labor'!J$7))))/Budget!$D$5</f>
        <v>-3.4978368711111076E-2</v>
      </c>
      <c r="K14" s="12">
        <f>(Oyster_seed_planted*(Survival/100)*$C14-(TOTAL_COSTS__MINUS_LABOR+(Labor_Costs+Labor_Costs*('Sensitivity_Price and Labor'!K$7))))/Budget!$D$5</f>
        <v>-4.7838955377777728E-2</v>
      </c>
      <c r="L14" s="12">
        <f>(Oyster_seed_planted*(Survival/100)*$C14-(TOTAL_COSTS__MINUS_LABOR+(Labor_Costs+Labor_Costs*('Sensitivity_Price and Labor'!L$7))))/Budget!$D$5</f>
        <v>-6.0699542044444443E-2</v>
      </c>
      <c r="M14" s="12">
        <f>(Oyster_seed_planted*(Survival/100)*$C14-(TOTAL_COSTS__MINUS_LABOR+(Labor_Costs+Labor_Costs*('Sensitivity_Price and Labor'!M$7))))/Budget!$D$5</f>
        <v>-7.3560128711111103E-2</v>
      </c>
      <c r="N14" s="12">
        <f>(Oyster_seed_planted*(Survival/100)*$C14-(TOTAL_COSTS__MINUS_LABOR+(Labor_Costs+Labor_Costs*('Sensitivity_Price and Labor'!N$7))))/Budget!$D$5</f>
        <v>-8.6420715377777749E-2</v>
      </c>
    </row>
    <row r="15" spans="1:17" x14ac:dyDescent="0.25">
      <c r="B15" s="131"/>
      <c r="C15" s="8">
        <f t="shared" si="2"/>
        <v>0.49</v>
      </c>
      <c r="D15" s="12">
        <f>(Oyster_seed_planted*(Survival/100)*$C15-(TOTAL_COSTS__MINUS_LABOR+(Labor_Costs+Labor_Costs*('Sensitivity_Price and Labor'!D$7))))/Budget!$D$5</f>
        <v>6.2185151288888914E-2</v>
      </c>
      <c r="E15" s="12">
        <f>(Oyster_seed_planted*(Survival/100)*$C15-(TOTAL_COSTS__MINUS_LABOR+(Labor_Costs+Labor_Costs*('Sensitivity_Price and Labor'!E$7))))/Budget!$D$5</f>
        <v>4.9324564622222261E-2</v>
      </c>
      <c r="F15" s="12">
        <f>(Oyster_seed_planted*(Survival/100)*$C15-(TOTAL_COSTS__MINUS_LABOR+(Labor_Costs+Labor_Costs*('Sensitivity_Price and Labor'!F$7))))/Budget!$D$5</f>
        <v>3.6463977955555546E-2</v>
      </c>
      <c r="G15" s="12">
        <f>(Oyster_seed_planted*(Survival/100)*$C15-(TOTAL_COSTS__MINUS_LABOR+(Labor_Costs+Labor_Costs*('Sensitivity_Price and Labor'!G$7))))/Budget!$D$5</f>
        <v>2.3603391288888952E-2</v>
      </c>
      <c r="H15" s="12">
        <f>(Oyster_seed_planted*(Survival/100)*$C15-(TOTAL_COSTS__MINUS_LABOR+(Labor_Costs+Labor_Costs*('Sensitivity_Price and Labor'!H$7))))/Budget!$D$5</f>
        <v>1.0742804622222235E-2</v>
      </c>
      <c r="I15" s="12">
        <f>(Oyster_seed_planted*(Survival/100)*$C15-(TOTAL_COSTS__MINUS_LABOR+(Labor_Costs+Labor_Costs*('Sensitivity_Price and Labor'!I$7))))/Budget!$D$5</f>
        <v>-2.1177820444444194E-3</v>
      </c>
      <c r="J15" s="12">
        <f>(Oyster_seed_planted*(Survival/100)*$C15-(TOTAL_COSTS__MINUS_LABOR+(Labor_Costs+Labor_Costs*('Sensitivity_Price and Labor'!J$7))))/Budget!$D$5</f>
        <v>-1.4978368711111073E-2</v>
      </c>
      <c r="K15" s="12">
        <f>(Oyster_seed_planted*(Survival/100)*$C15-(TOTAL_COSTS__MINUS_LABOR+(Labor_Costs+Labor_Costs*('Sensitivity_Price and Labor'!K$7))))/Budget!$D$5</f>
        <v>-2.7838955377777728E-2</v>
      </c>
      <c r="L15" s="12">
        <f>(Oyster_seed_planted*(Survival/100)*$C15-(TOTAL_COSTS__MINUS_LABOR+(Labor_Costs+Labor_Costs*('Sensitivity_Price and Labor'!L$7))))/Budget!$D$5</f>
        <v>-4.0699542044444446E-2</v>
      </c>
      <c r="M15" s="12">
        <f>(Oyster_seed_planted*(Survival/100)*$C15-(TOTAL_COSTS__MINUS_LABOR+(Labor_Costs+Labor_Costs*('Sensitivity_Price and Labor'!M$7))))/Budget!$D$5</f>
        <v>-5.3560128711111099E-2</v>
      </c>
      <c r="N15" s="12">
        <f>(Oyster_seed_planted*(Survival/100)*$C15-(TOTAL_COSTS__MINUS_LABOR+(Labor_Costs+Labor_Costs*('Sensitivity_Price and Labor'!N$7))))/Budget!$D$5</f>
        <v>-6.6420715377777759E-2</v>
      </c>
    </row>
    <row r="16" spans="1:17" x14ac:dyDescent="0.25">
      <c r="B16" s="131"/>
      <c r="C16" s="8">
        <f t="shared" si="2"/>
        <v>0.52</v>
      </c>
      <c r="D16" s="12">
        <f>(Oyster_seed_planted*(Survival/100)*$C16-(TOTAL_COSTS__MINUS_LABOR+(Labor_Costs+Labor_Costs*('Sensitivity_Price and Labor'!D$7))))/Budget!$D$5</f>
        <v>9.218515128888892E-2</v>
      </c>
      <c r="E16" s="12">
        <f>(Oyster_seed_planted*(Survival/100)*$C16-(TOTAL_COSTS__MINUS_LABOR+(Labor_Costs+Labor_Costs*('Sensitivity_Price and Labor'!E$7))))/Budget!$D$5</f>
        <v>7.932456462222226E-2</v>
      </c>
      <c r="F16" s="12">
        <f>(Oyster_seed_planted*(Survival/100)*$C16-(TOTAL_COSTS__MINUS_LABOR+(Labor_Costs+Labor_Costs*('Sensitivity_Price and Labor'!F$7))))/Budget!$D$5</f>
        <v>6.6463977955555545E-2</v>
      </c>
      <c r="G16" s="12">
        <f>(Oyster_seed_planted*(Survival/100)*$C16-(TOTAL_COSTS__MINUS_LABOR+(Labor_Costs+Labor_Costs*('Sensitivity_Price and Labor'!G$7))))/Budget!$D$5</f>
        <v>5.3603391288888948E-2</v>
      </c>
      <c r="H16" s="12">
        <f>(Oyster_seed_planted*(Survival/100)*$C16-(TOTAL_COSTS__MINUS_LABOR+(Labor_Costs+Labor_Costs*('Sensitivity_Price and Labor'!H$7))))/Budget!$D$5</f>
        <v>4.0742804622222233E-2</v>
      </c>
      <c r="I16" s="12">
        <f>(Oyster_seed_planted*(Survival/100)*$C16-(TOTAL_COSTS__MINUS_LABOR+(Labor_Costs+Labor_Costs*('Sensitivity_Price and Labor'!I$7))))/Budget!$D$5</f>
        <v>2.788221795555558E-2</v>
      </c>
      <c r="J16" s="12">
        <f>(Oyster_seed_planted*(Survival/100)*$C16-(TOTAL_COSTS__MINUS_LABOR+(Labor_Costs+Labor_Costs*('Sensitivity_Price and Labor'!J$7))))/Budget!$D$5</f>
        <v>1.5021631288888926E-2</v>
      </c>
      <c r="K16" s="12">
        <f>(Oyster_seed_planted*(Survival/100)*$C16-(TOTAL_COSTS__MINUS_LABOR+(Labor_Costs+Labor_Costs*('Sensitivity_Price and Labor'!K$7))))/Budget!$D$5</f>
        <v>2.161044622222272E-3</v>
      </c>
      <c r="L16" s="12">
        <f>(Oyster_seed_planted*(Survival/100)*$C16-(TOTAL_COSTS__MINUS_LABOR+(Labor_Costs+Labor_Costs*('Sensitivity_Price and Labor'!L$7))))/Budget!$D$5</f>
        <v>-1.0699542044444444E-2</v>
      </c>
      <c r="M16" s="12">
        <f>(Oyster_seed_planted*(Survival/100)*$C16-(TOTAL_COSTS__MINUS_LABOR+(Labor_Costs+Labor_Costs*('Sensitivity_Price and Labor'!M$7))))/Budget!$D$5</f>
        <v>-2.35601287111111E-2</v>
      </c>
      <c r="N16" s="12">
        <f>(Oyster_seed_planted*(Survival/100)*$C16-(TOTAL_COSTS__MINUS_LABOR+(Labor_Costs+Labor_Costs*('Sensitivity_Price and Labor'!N$7))))/Budget!$D$5</f>
        <v>-3.6420715377777753E-2</v>
      </c>
    </row>
    <row r="17" spans="2:14" x14ac:dyDescent="0.25">
      <c r="B17" s="131"/>
      <c r="C17" s="8">
        <f>Price</f>
        <v>0.55000000000000004</v>
      </c>
      <c r="D17" s="12">
        <f>(Oyster_seed_planted*(Survival/100)*$C17-(TOTAL_COSTS__MINUS_LABOR+(Labor_Costs+Labor_Costs*('Sensitivity_Price and Labor'!D$7))))/Budget!$D$5</f>
        <v>0.12218515128888897</v>
      </c>
      <c r="E17" s="12">
        <f>(Oyster_seed_planted*(Survival/100)*$C17-(TOTAL_COSTS__MINUS_LABOR+(Labor_Costs+Labor_Costs*('Sensitivity_Price and Labor'!E$7))))/Budget!$D$5</f>
        <v>0.10932456462222233</v>
      </c>
      <c r="F17" s="12">
        <f>(Oyster_seed_planted*(Survival/100)*$C17-(TOTAL_COSTS__MINUS_LABOR+(Labor_Costs+Labor_Costs*('Sensitivity_Price and Labor'!F$7))))/Budget!$D$5</f>
        <v>9.6463977955555599E-2</v>
      </c>
      <c r="G17" s="12">
        <f>(Oyster_seed_planted*(Survival/100)*$C17-(TOTAL_COSTS__MINUS_LABOR+(Labor_Costs+Labor_Costs*('Sensitivity_Price and Labor'!G$7))))/Budget!$D$5</f>
        <v>8.3603391288889009E-2</v>
      </c>
      <c r="H17" s="12">
        <f>(Oyster_seed_planted*(Survival/100)*$C17-(TOTAL_COSTS__MINUS_LABOR+(Labor_Costs+Labor_Costs*('Sensitivity_Price and Labor'!H$7))))/Budget!$D$5</f>
        <v>7.0742804622222294E-2</v>
      </c>
      <c r="I17" s="109">
        <f>(Oyster_seed_planted*(Survival/100)*$C17-(TOTAL_COSTS__MINUS_LABOR+(Labor_Costs+Labor_Costs*('Sensitivity_Price and Labor'!I$7))))/Budget!$D$5</f>
        <v>5.7882217955555641E-2</v>
      </c>
      <c r="J17" s="12">
        <f>(Oyster_seed_planted*(Survival/100)*$C17-(TOTAL_COSTS__MINUS_LABOR+(Labor_Costs+Labor_Costs*('Sensitivity_Price and Labor'!J$7))))/Budget!$D$5</f>
        <v>4.5021631288888989E-2</v>
      </c>
      <c r="K17" s="12">
        <f>(Oyster_seed_planted*(Survival/100)*$C17-(TOTAL_COSTS__MINUS_LABOR+(Labor_Costs+Labor_Costs*('Sensitivity_Price and Labor'!K$7))))/Budget!$D$5</f>
        <v>3.2161044622222336E-2</v>
      </c>
      <c r="L17" s="12">
        <f>(Oyster_seed_planted*(Survival/100)*$C17-(TOTAL_COSTS__MINUS_LABOR+(Labor_Costs+Labor_Costs*('Sensitivity_Price and Labor'!L$7))))/Budget!$D$5</f>
        <v>1.9300457955555617E-2</v>
      </c>
      <c r="M17" s="12">
        <f>(Oyster_seed_planted*(Survival/100)*$C17-(TOTAL_COSTS__MINUS_LABOR+(Labor_Costs+Labor_Costs*('Sensitivity_Price and Labor'!M$7))))/Budget!$D$5</f>
        <v>6.4398712888889638E-3</v>
      </c>
      <c r="N17" s="12">
        <f>(Oyster_seed_planted*(Survival/100)*$C17-(TOTAL_COSTS__MINUS_LABOR+(Labor_Costs+Labor_Costs*('Sensitivity_Price and Labor'!N$7))))/Budget!$D$5</f>
        <v>-6.4207153777776907E-3</v>
      </c>
    </row>
    <row r="18" spans="2:14" x14ac:dyDescent="0.25">
      <c r="B18" s="131"/>
      <c r="C18" s="8">
        <f>ROUND(C17+C17*0.05,2)</f>
        <v>0.57999999999999996</v>
      </c>
      <c r="D18" s="12">
        <f>(Oyster_seed_planted*(Survival/100)*$C18-(TOTAL_COSTS__MINUS_LABOR+(Labor_Costs+Labor_Costs*('Sensitivity_Price and Labor'!D$7))))/Budget!$D$5</f>
        <v>0.1521851512888889</v>
      </c>
      <c r="E18" s="12">
        <f>(Oyster_seed_planted*(Survival/100)*$C18-(TOTAL_COSTS__MINUS_LABOR+(Labor_Costs+Labor_Costs*('Sensitivity_Price and Labor'!E$7))))/Budget!$D$5</f>
        <v>0.13932456462222226</v>
      </c>
      <c r="F18" s="12">
        <f>(Oyster_seed_planted*(Survival/100)*$C18-(TOTAL_COSTS__MINUS_LABOR+(Labor_Costs+Labor_Costs*('Sensitivity_Price and Labor'!F$7))))/Budget!$D$5</f>
        <v>0.12646397795555556</v>
      </c>
      <c r="G18" s="12">
        <f>(Oyster_seed_planted*(Survival/100)*$C18-(TOTAL_COSTS__MINUS_LABOR+(Labor_Costs+Labor_Costs*('Sensitivity_Price and Labor'!G$7))))/Budget!$D$5</f>
        <v>0.11360339128888895</v>
      </c>
      <c r="H18" s="12">
        <f>(Oyster_seed_planted*(Survival/100)*$C18-(TOTAL_COSTS__MINUS_LABOR+(Labor_Costs+Labor_Costs*('Sensitivity_Price and Labor'!H$7))))/Budget!$D$5</f>
        <v>0.10074280462222224</v>
      </c>
      <c r="I18" s="12">
        <f>(Oyster_seed_planted*(Survival/100)*$C18-(TOTAL_COSTS__MINUS_LABOR+(Labor_Costs+Labor_Costs*('Sensitivity_Price and Labor'!I$7))))/Budget!$D$5</f>
        <v>8.7882217955555578E-2</v>
      </c>
      <c r="J18" s="12">
        <f>(Oyster_seed_planted*(Survival/100)*$C18-(TOTAL_COSTS__MINUS_LABOR+(Labor_Costs+Labor_Costs*('Sensitivity_Price and Labor'!J$7))))/Budget!$D$5</f>
        <v>7.5021631288888932E-2</v>
      </c>
      <c r="K18" s="12">
        <f>(Oyster_seed_planted*(Survival/100)*$C18-(TOTAL_COSTS__MINUS_LABOR+(Labor_Costs+Labor_Costs*('Sensitivity_Price and Labor'!K$7))))/Budget!$D$5</f>
        <v>6.2161044622222272E-2</v>
      </c>
      <c r="L18" s="12">
        <f>(Oyster_seed_planted*(Survival/100)*$C18-(TOTAL_COSTS__MINUS_LABOR+(Labor_Costs+Labor_Costs*('Sensitivity_Price and Labor'!L$7))))/Budget!$D$5</f>
        <v>4.9300457955555557E-2</v>
      </c>
      <c r="M18" s="12">
        <f>(Oyster_seed_planted*(Survival/100)*$C18-(TOTAL_COSTS__MINUS_LABOR+(Labor_Costs+Labor_Costs*('Sensitivity_Price and Labor'!M$7))))/Budget!$D$5</f>
        <v>3.6439871288888905E-2</v>
      </c>
      <c r="N18" s="12">
        <f>(Oyster_seed_planted*(Survival/100)*$C18-(TOTAL_COSTS__MINUS_LABOR+(Labor_Costs+Labor_Costs*('Sensitivity_Price and Labor'!N$7))))/Budget!$D$5</f>
        <v>2.3579284622222248E-2</v>
      </c>
    </row>
    <row r="19" spans="2:14" x14ac:dyDescent="0.25">
      <c r="B19" s="131"/>
      <c r="C19" s="8">
        <f t="shared" ref="C19:C25" si="3">ROUND(C18+C18*0.05,2)</f>
        <v>0.61</v>
      </c>
      <c r="D19" s="12">
        <f>(Oyster_seed_planted*(Survival/100)*$C19-(TOTAL_COSTS__MINUS_LABOR+(Labor_Costs+Labor_Costs*('Sensitivity_Price and Labor'!D$7))))/Budget!$D$5</f>
        <v>0.1821851512888889</v>
      </c>
      <c r="E19" s="12">
        <f>(Oyster_seed_planted*(Survival/100)*$C19-(TOTAL_COSTS__MINUS_LABOR+(Labor_Costs+Labor_Costs*('Sensitivity_Price and Labor'!E$7))))/Budget!$D$5</f>
        <v>0.16932456462222226</v>
      </c>
      <c r="F19" s="12">
        <f>(Oyster_seed_planted*(Survival/100)*$C19-(TOTAL_COSTS__MINUS_LABOR+(Labor_Costs+Labor_Costs*('Sensitivity_Price and Labor'!F$7))))/Budget!$D$5</f>
        <v>0.15646397795555556</v>
      </c>
      <c r="G19" s="12">
        <f>(Oyster_seed_planted*(Survival/100)*$C19-(TOTAL_COSTS__MINUS_LABOR+(Labor_Costs+Labor_Costs*('Sensitivity_Price and Labor'!G$7))))/Budget!$D$5</f>
        <v>0.14360339128888894</v>
      </c>
      <c r="H19" s="12">
        <f>(Oyster_seed_planted*(Survival/100)*$C19-(TOTAL_COSTS__MINUS_LABOR+(Labor_Costs+Labor_Costs*('Sensitivity_Price and Labor'!H$7))))/Budget!$D$5</f>
        <v>0.13074280462222224</v>
      </c>
      <c r="I19" s="12">
        <f>(Oyster_seed_planted*(Survival/100)*$C19-(TOTAL_COSTS__MINUS_LABOR+(Labor_Costs+Labor_Costs*('Sensitivity_Price and Labor'!I$7))))/Budget!$D$5</f>
        <v>0.11788221795555558</v>
      </c>
      <c r="J19" s="12">
        <f>(Oyster_seed_planted*(Survival/100)*$C19-(TOTAL_COSTS__MINUS_LABOR+(Labor_Costs+Labor_Costs*('Sensitivity_Price and Labor'!J$7))))/Budget!$D$5</f>
        <v>0.10502163128888893</v>
      </c>
      <c r="K19" s="12">
        <f>(Oyster_seed_planted*(Survival/100)*$C19-(TOTAL_COSTS__MINUS_LABOR+(Labor_Costs+Labor_Costs*('Sensitivity_Price and Labor'!K$7))))/Budget!$D$5</f>
        <v>9.2161044622222271E-2</v>
      </c>
      <c r="L19" s="12">
        <f>(Oyster_seed_planted*(Survival/100)*$C19-(TOTAL_COSTS__MINUS_LABOR+(Labor_Costs+Labor_Costs*('Sensitivity_Price and Labor'!L$7))))/Budget!$D$5</f>
        <v>7.9300457955555556E-2</v>
      </c>
      <c r="M19" s="12">
        <f>(Oyster_seed_planted*(Survival/100)*$C19-(TOTAL_COSTS__MINUS_LABOR+(Labor_Costs+Labor_Costs*('Sensitivity_Price and Labor'!M$7))))/Budget!$D$5</f>
        <v>6.6439871288888896E-2</v>
      </c>
      <c r="N19" s="12">
        <f>(Oyster_seed_planted*(Survival/100)*$C19-(TOTAL_COSTS__MINUS_LABOR+(Labor_Costs+Labor_Costs*('Sensitivity_Price and Labor'!N$7))))/Budget!$D$5</f>
        <v>5.3579284622222244E-2</v>
      </c>
    </row>
    <row r="20" spans="2:14" x14ac:dyDescent="0.25">
      <c r="B20" s="131"/>
      <c r="C20" s="8">
        <f t="shared" si="3"/>
        <v>0.64</v>
      </c>
      <c r="D20" s="12">
        <f>(Oyster_seed_planted*(Survival/100)*$C20-(TOTAL_COSTS__MINUS_LABOR+(Labor_Costs+Labor_Costs*('Sensitivity_Price and Labor'!D$7))))/Budget!$D$5</f>
        <v>0.2121851512888889</v>
      </c>
      <c r="E20" s="12">
        <f>(Oyster_seed_planted*(Survival/100)*$C20-(TOTAL_COSTS__MINUS_LABOR+(Labor_Costs+Labor_Costs*('Sensitivity_Price and Labor'!E$7))))/Budget!$D$5</f>
        <v>0.19932456462222226</v>
      </c>
      <c r="F20" s="12">
        <f>(Oyster_seed_planted*(Survival/100)*$C20-(TOTAL_COSTS__MINUS_LABOR+(Labor_Costs+Labor_Costs*('Sensitivity_Price and Labor'!F$7))))/Budget!$D$5</f>
        <v>0.18646397795555555</v>
      </c>
      <c r="G20" s="12">
        <f>(Oyster_seed_planted*(Survival/100)*$C20-(TOTAL_COSTS__MINUS_LABOR+(Labor_Costs+Labor_Costs*('Sensitivity_Price and Labor'!G$7))))/Budget!$D$5</f>
        <v>0.17360339128888896</v>
      </c>
      <c r="H20" s="12">
        <f>(Oyster_seed_planted*(Survival/100)*$C20-(TOTAL_COSTS__MINUS_LABOR+(Labor_Costs+Labor_Costs*('Sensitivity_Price and Labor'!H$7))))/Budget!$D$5</f>
        <v>0.16074280462222224</v>
      </c>
      <c r="I20" s="12">
        <f>(Oyster_seed_planted*(Survival/100)*$C20-(TOTAL_COSTS__MINUS_LABOR+(Labor_Costs+Labor_Costs*('Sensitivity_Price and Labor'!I$7))))/Budget!$D$5</f>
        <v>0.14788221795555559</v>
      </c>
      <c r="J20" s="12">
        <f>(Oyster_seed_planted*(Survival/100)*$C20-(TOTAL_COSTS__MINUS_LABOR+(Labor_Costs+Labor_Costs*('Sensitivity_Price and Labor'!J$7))))/Budget!$D$5</f>
        <v>0.13502163128888892</v>
      </c>
      <c r="K20" s="12">
        <f>(Oyster_seed_planted*(Survival/100)*$C20-(TOTAL_COSTS__MINUS_LABOR+(Labor_Costs+Labor_Costs*('Sensitivity_Price and Labor'!K$7))))/Budget!$D$5</f>
        <v>0.12216104462222227</v>
      </c>
      <c r="L20" s="12">
        <f>(Oyster_seed_planted*(Survival/100)*$C20-(TOTAL_COSTS__MINUS_LABOR+(Labor_Costs+Labor_Costs*('Sensitivity_Price and Labor'!L$7))))/Budget!$D$5</f>
        <v>0.10930045795555555</v>
      </c>
      <c r="M20" s="12">
        <f>(Oyster_seed_planted*(Survival/100)*$C20-(TOTAL_COSTS__MINUS_LABOR+(Labor_Costs+Labor_Costs*('Sensitivity_Price and Labor'!M$7))))/Budget!$D$5</f>
        <v>9.6439871288888895E-2</v>
      </c>
      <c r="N20" s="12">
        <f>(Oyster_seed_planted*(Survival/100)*$C20-(TOTAL_COSTS__MINUS_LABOR+(Labor_Costs+Labor_Costs*('Sensitivity_Price and Labor'!N$7))))/Budget!$D$5</f>
        <v>8.357928462222225E-2</v>
      </c>
    </row>
    <row r="21" spans="2:14" x14ac:dyDescent="0.25">
      <c r="B21" s="131"/>
      <c r="C21" s="8">
        <f t="shared" si="3"/>
        <v>0.67</v>
      </c>
      <c r="D21" s="12">
        <f>(Oyster_seed_planted*(Survival/100)*$C21-(TOTAL_COSTS__MINUS_LABOR+(Labor_Costs+Labor_Costs*('Sensitivity_Price and Labor'!D$7))))/Budget!$D$5</f>
        <v>0.2421851512888889</v>
      </c>
      <c r="E21" s="12">
        <f>(Oyster_seed_planted*(Survival/100)*$C21-(TOTAL_COSTS__MINUS_LABOR+(Labor_Costs+Labor_Costs*('Sensitivity_Price and Labor'!E$7))))/Budget!$D$5</f>
        <v>0.22932456462222225</v>
      </c>
      <c r="F21" s="12">
        <f>(Oyster_seed_planted*(Survival/100)*$C21-(TOTAL_COSTS__MINUS_LABOR+(Labor_Costs+Labor_Costs*('Sensitivity_Price and Labor'!F$7))))/Budget!$D$5</f>
        <v>0.21646397795555555</v>
      </c>
      <c r="G21" s="12">
        <f>(Oyster_seed_planted*(Survival/100)*$C21-(TOTAL_COSTS__MINUS_LABOR+(Labor_Costs+Labor_Costs*('Sensitivity_Price and Labor'!G$7))))/Budget!$D$5</f>
        <v>0.20360339128888896</v>
      </c>
      <c r="H21" s="12">
        <f>(Oyster_seed_planted*(Survival/100)*$C21-(TOTAL_COSTS__MINUS_LABOR+(Labor_Costs+Labor_Costs*('Sensitivity_Price and Labor'!H$7))))/Budget!$D$5</f>
        <v>0.19074280462222223</v>
      </c>
      <c r="I21" s="12">
        <f>(Oyster_seed_planted*(Survival/100)*$C21-(TOTAL_COSTS__MINUS_LABOR+(Labor_Costs+Labor_Costs*('Sensitivity_Price and Labor'!I$7))))/Budget!$D$5</f>
        <v>0.17788221795555559</v>
      </c>
      <c r="J21" s="12">
        <f>(Oyster_seed_planted*(Survival/100)*$C21-(TOTAL_COSTS__MINUS_LABOR+(Labor_Costs+Labor_Costs*('Sensitivity_Price and Labor'!J$7))))/Budget!$D$5</f>
        <v>0.16502163128888891</v>
      </c>
      <c r="K21" s="12">
        <f>(Oyster_seed_planted*(Survival/100)*$C21-(TOTAL_COSTS__MINUS_LABOR+(Labor_Costs+Labor_Costs*('Sensitivity_Price and Labor'!K$7))))/Budget!$D$5</f>
        <v>0.15216104462222227</v>
      </c>
      <c r="L21" s="12">
        <f>(Oyster_seed_planted*(Survival/100)*$C21-(TOTAL_COSTS__MINUS_LABOR+(Labor_Costs+Labor_Costs*('Sensitivity_Price and Labor'!L$7))))/Budget!$D$5</f>
        <v>0.13930045795555557</v>
      </c>
      <c r="M21" s="12">
        <f>(Oyster_seed_planted*(Survival/100)*$C21-(TOTAL_COSTS__MINUS_LABOR+(Labor_Costs+Labor_Costs*('Sensitivity_Price and Labor'!M$7))))/Budget!$D$5</f>
        <v>0.12643987128888889</v>
      </c>
      <c r="N21" s="12">
        <f>(Oyster_seed_planted*(Survival/100)*$C21-(TOTAL_COSTS__MINUS_LABOR+(Labor_Costs+Labor_Costs*('Sensitivity_Price and Labor'!N$7))))/Budget!$D$5</f>
        <v>0.11357928462222225</v>
      </c>
    </row>
    <row r="22" spans="2:14" x14ac:dyDescent="0.25">
      <c r="B22" s="131"/>
      <c r="C22" s="8">
        <f t="shared" si="3"/>
        <v>0.7</v>
      </c>
      <c r="D22" s="12">
        <f>(Oyster_seed_planted*(Survival/100)*$C22-(TOTAL_COSTS__MINUS_LABOR+(Labor_Costs+Labor_Costs*('Sensitivity_Price and Labor'!D$7))))/Budget!$D$5</f>
        <v>0.27218515128888893</v>
      </c>
      <c r="E22" s="12">
        <f>(Oyster_seed_planted*(Survival/100)*$C22-(TOTAL_COSTS__MINUS_LABOR+(Labor_Costs+Labor_Costs*('Sensitivity_Price and Labor'!E$7))))/Budget!$D$5</f>
        <v>0.25932456462222225</v>
      </c>
      <c r="F22" s="12">
        <f>(Oyster_seed_planted*(Survival/100)*$C22-(TOTAL_COSTS__MINUS_LABOR+(Labor_Costs+Labor_Costs*('Sensitivity_Price and Labor'!F$7))))/Budget!$D$5</f>
        <v>0.24646397795555555</v>
      </c>
      <c r="G22" s="12">
        <f>(Oyster_seed_planted*(Survival/100)*$C22-(TOTAL_COSTS__MINUS_LABOR+(Labor_Costs+Labor_Costs*('Sensitivity_Price and Labor'!G$7))))/Budget!$D$5</f>
        <v>0.23360339128888896</v>
      </c>
      <c r="H22" s="12">
        <f>(Oyster_seed_planted*(Survival/100)*$C22-(TOTAL_COSTS__MINUS_LABOR+(Labor_Costs+Labor_Costs*('Sensitivity_Price and Labor'!H$7))))/Budget!$D$5</f>
        <v>0.22074280462222223</v>
      </c>
      <c r="I22" s="12">
        <f>(Oyster_seed_planted*(Survival/100)*$C22-(TOTAL_COSTS__MINUS_LABOR+(Labor_Costs+Labor_Costs*('Sensitivity_Price and Labor'!I$7))))/Budget!$D$5</f>
        <v>0.20788221795555559</v>
      </c>
      <c r="J22" s="12">
        <f>(Oyster_seed_planted*(Survival/100)*$C22-(TOTAL_COSTS__MINUS_LABOR+(Labor_Costs+Labor_Costs*('Sensitivity_Price and Labor'!J$7))))/Budget!$D$5</f>
        <v>0.19502163128888891</v>
      </c>
      <c r="K22" s="12">
        <f>(Oyster_seed_planted*(Survival/100)*$C22-(TOTAL_COSTS__MINUS_LABOR+(Labor_Costs+Labor_Costs*('Sensitivity_Price and Labor'!K$7))))/Budget!$D$5</f>
        <v>0.18216104462222227</v>
      </c>
      <c r="L22" s="12">
        <f>(Oyster_seed_planted*(Survival/100)*$C22-(TOTAL_COSTS__MINUS_LABOR+(Labor_Costs+Labor_Costs*('Sensitivity_Price and Labor'!L$7))))/Budget!$D$5</f>
        <v>0.16930045795555557</v>
      </c>
      <c r="M22" s="12">
        <f>(Oyster_seed_planted*(Survival/100)*$C22-(TOTAL_COSTS__MINUS_LABOR+(Labor_Costs+Labor_Costs*('Sensitivity_Price and Labor'!M$7))))/Budget!$D$5</f>
        <v>0.15643987128888889</v>
      </c>
      <c r="N22" s="12">
        <f>(Oyster_seed_planted*(Survival/100)*$C22-(TOTAL_COSTS__MINUS_LABOR+(Labor_Costs+Labor_Costs*('Sensitivity_Price and Labor'!N$7))))/Budget!$D$5</f>
        <v>0.14357928462222225</v>
      </c>
    </row>
    <row r="23" spans="2:14" x14ac:dyDescent="0.25">
      <c r="B23" s="131"/>
      <c r="C23" s="8">
        <f t="shared" si="3"/>
        <v>0.74</v>
      </c>
      <c r="D23" s="12">
        <f>(Oyster_seed_planted*(Survival/100)*$C23-(TOTAL_COSTS__MINUS_LABOR+(Labor_Costs+Labor_Costs*('Sensitivity_Price and Labor'!D$7))))/Budget!$D$5</f>
        <v>0.31218515128888891</v>
      </c>
      <c r="E23" s="12">
        <f>(Oyster_seed_planted*(Survival/100)*$C23-(TOTAL_COSTS__MINUS_LABOR+(Labor_Costs+Labor_Costs*('Sensitivity_Price and Labor'!E$7))))/Budget!$D$5</f>
        <v>0.29932456462222223</v>
      </c>
      <c r="F23" s="12">
        <f>(Oyster_seed_planted*(Survival/100)*$C23-(TOTAL_COSTS__MINUS_LABOR+(Labor_Costs+Labor_Costs*('Sensitivity_Price and Labor'!F$7))))/Budget!$D$5</f>
        <v>0.28646397795555556</v>
      </c>
      <c r="G23" s="12">
        <f>(Oyster_seed_planted*(Survival/100)*$C23-(TOTAL_COSTS__MINUS_LABOR+(Labor_Costs+Labor_Costs*('Sensitivity_Price and Labor'!G$7))))/Budget!$D$5</f>
        <v>0.27360339128888894</v>
      </c>
      <c r="H23" s="12">
        <f>(Oyster_seed_planted*(Survival/100)*$C23-(TOTAL_COSTS__MINUS_LABOR+(Labor_Costs+Labor_Costs*('Sensitivity_Price and Labor'!H$7))))/Budget!$D$5</f>
        <v>0.26074280462222221</v>
      </c>
      <c r="I23" s="12">
        <f>(Oyster_seed_planted*(Survival/100)*$C23-(TOTAL_COSTS__MINUS_LABOR+(Labor_Costs+Labor_Costs*('Sensitivity_Price and Labor'!I$7))))/Budget!$D$5</f>
        <v>0.24788221795555557</v>
      </c>
      <c r="J23" s="12">
        <f>(Oyster_seed_planted*(Survival/100)*$C23-(TOTAL_COSTS__MINUS_LABOR+(Labor_Costs+Labor_Costs*('Sensitivity_Price and Labor'!J$7))))/Budget!$D$5</f>
        <v>0.23502163128888892</v>
      </c>
      <c r="K23" s="12">
        <f>(Oyster_seed_planted*(Survival/100)*$C23-(TOTAL_COSTS__MINUS_LABOR+(Labor_Costs+Labor_Costs*('Sensitivity_Price and Labor'!K$7))))/Budget!$D$5</f>
        <v>0.22216104462222228</v>
      </c>
      <c r="L23" s="12">
        <f>(Oyster_seed_planted*(Survival/100)*$C23-(TOTAL_COSTS__MINUS_LABOR+(Labor_Costs+Labor_Costs*('Sensitivity_Price and Labor'!L$7))))/Budget!$D$5</f>
        <v>0.20930045795555555</v>
      </c>
      <c r="M23" s="12">
        <f>(Oyster_seed_planted*(Survival/100)*$C23-(TOTAL_COSTS__MINUS_LABOR+(Labor_Costs+Labor_Costs*('Sensitivity_Price and Labor'!M$7))))/Budget!$D$5</f>
        <v>0.1964398712888889</v>
      </c>
      <c r="N23" s="12">
        <f>(Oyster_seed_planted*(Survival/100)*$C23-(TOTAL_COSTS__MINUS_LABOR+(Labor_Costs+Labor_Costs*('Sensitivity_Price and Labor'!N$7))))/Budget!$D$5</f>
        <v>0.18357928462222226</v>
      </c>
    </row>
    <row r="24" spans="2:14" x14ac:dyDescent="0.25">
      <c r="B24" s="131"/>
      <c r="C24" s="8">
        <f t="shared" si="3"/>
        <v>0.78</v>
      </c>
      <c r="D24" s="12">
        <f>(Oyster_seed_planted*(Survival/100)*$C24-(TOTAL_COSTS__MINUS_LABOR+(Labor_Costs+Labor_Costs*('Sensitivity_Price and Labor'!D$7))))/Budget!$D$5</f>
        <v>0.35218515128888889</v>
      </c>
      <c r="E24" s="12">
        <f>(Oyster_seed_planted*(Survival/100)*$C24-(TOTAL_COSTS__MINUS_LABOR+(Labor_Costs+Labor_Costs*('Sensitivity_Price and Labor'!E$7))))/Budget!$D$5</f>
        <v>0.33932456462222227</v>
      </c>
      <c r="F24" s="12">
        <f>(Oyster_seed_planted*(Survival/100)*$C24-(TOTAL_COSTS__MINUS_LABOR+(Labor_Costs+Labor_Costs*('Sensitivity_Price and Labor'!F$7))))/Budget!$D$5</f>
        <v>0.32646397795555554</v>
      </c>
      <c r="G24" s="12">
        <f>(Oyster_seed_planted*(Survival/100)*$C24-(TOTAL_COSTS__MINUS_LABOR+(Labor_Costs+Labor_Costs*('Sensitivity_Price and Labor'!G$7))))/Budget!$D$5</f>
        <v>0.31360339128888898</v>
      </c>
      <c r="H24" s="12">
        <f>(Oyster_seed_planted*(Survival/100)*$C24-(TOTAL_COSTS__MINUS_LABOR+(Labor_Costs+Labor_Costs*('Sensitivity_Price and Labor'!H$7))))/Budget!$D$5</f>
        <v>0.30074280462222225</v>
      </c>
      <c r="I24" s="12">
        <f>(Oyster_seed_planted*(Survival/100)*$C24-(TOTAL_COSTS__MINUS_LABOR+(Labor_Costs+Labor_Costs*('Sensitivity_Price and Labor'!I$7))))/Budget!$D$5</f>
        <v>0.28788221795555557</v>
      </c>
      <c r="J24" s="12">
        <f>(Oyster_seed_planted*(Survival/100)*$C24-(TOTAL_COSTS__MINUS_LABOR+(Labor_Costs+Labor_Costs*('Sensitivity_Price and Labor'!J$7))))/Budget!$D$5</f>
        <v>0.2750216312888889</v>
      </c>
      <c r="K24" s="12">
        <f>(Oyster_seed_planted*(Survival/100)*$C24-(TOTAL_COSTS__MINUS_LABOR+(Labor_Costs+Labor_Costs*('Sensitivity_Price and Labor'!K$7))))/Budget!$D$5</f>
        <v>0.26216104462222228</v>
      </c>
      <c r="L24" s="12">
        <f>(Oyster_seed_planted*(Survival/100)*$C24-(TOTAL_COSTS__MINUS_LABOR+(Labor_Costs+Labor_Costs*('Sensitivity_Price and Labor'!L$7))))/Budget!$D$5</f>
        <v>0.24930045795555555</v>
      </c>
      <c r="M24" s="12">
        <f>(Oyster_seed_planted*(Survival/100)*$C24-(TOTAL_COSTS__MINUS_LABOR+(Labor_Costs+Labor_Costs*('Sensitivity_Price and Labor'!M$7))))/Budget!$D$5</f>
        <v>0.23643987128888891</v>
      </c>
      <c r="N24" s="12">
        <f>(Oyster_seed_planted*(Survival/100)*$C24-(TOTAL_COSTS__MINUS_LABOR+(Labor_Costs+Labor_Costs*('Sensitivity_Price and Labor'!N$7))))/Budget!$D$5</f>
        <v>0.22357928462222224</v>
      </c>
    </row>
    <row r="25" spans="2:14" x14ac:dyDescent="0.25">
      <c r="B25" s="131"/>
      <c r="C25" s="8">
        <f t="shared" si="3"/>
        <v>0.82</v>
      </c>
      <c r="D25" s="12">
        <f>(Oyster_seed_planted*(Survival/100)*$C25-(TOTAL_COSTS__MINUS_LABOR+(Labor_Costs+Labor_Costs*('Sensitivity_Price and Labor'!D$7))))/Budget!$D$5</f>
        <v>0.39218515128888892</v>
      </c>
      <c r="E25" s="12">
        <f>(Oyster_seed_planted*(Survival/100)*$C25-(TOTAL_COSTS__MINUS_LABOR+(Labor_Costs+Labor_Costs*('Sensitivity_Price and Labor'!E$7))))/Budget!$D$5</f>
        <v>0.37932456462222225</v>
      </c>
      <c r="F25" s="12">
        <f>(Oyster_seed_planted*(Survival/100)*$C25-(TOTAL_COSTS__MINUS_LABOR+(Labor_Costs+Labor_Costs*('Sensitivity_Price and Labor'!F$7))))/Budget!$D$5</f>
        <v>0.36646397795555552</v>
      </c>
      <c r="G25" s="12">
        <f>(Oyster_seed_planted*(Survival/100)*$C25-(TOTAL_COSTS__MINUS_LABOR+(Labor_Costs+Labor_Costs*('Sensitivity_Price and Labor'!G$7))))/Budget!$D$5</f>
        <v>0.35360339128888896</v>
      </c>
      <c r="H25" s="12">
        <f>(Oyster_seed_planted*(Survival/100)*$C25-(TOTAL_COSTS__MINUS_LABOR+(Labor_Costs+Labor_Costs*('Sensitivity_Price and Labor'!H$7))))/Budget!$D$5</f>
        <v>0.34074280462222223</v>
      </c>
      <c r="I25" s="12">
        <f>(Oyster_seed_planted*(Survival/100)*$C25-(TOTAL_COSTS__MINUS_LABOR+(Labor_Costs+Labor_Costs*('Sensitivity_Price and Labor'!I$7))))/Budget!$D$5</f>
        <v>0.32788221795555555</v>
      </c>
      <c r="J25" s="12">
        <f>(Oyster_seed_planted*(Survival/100)*$C25-(TOTAL_COSTS__MINUS_LABOR+(Labor_Costs+Labor_Costs*('Sensitivity_Price and Labor'!J$7))))/Budget!$D$5</f>
        <v>0.31502163128888894</v>
      </c>
      <c r="K25" s="12">
        <f>(Oyster_seed_planted*(Survival/100)*$C25-(TOTAL_COSTS__MINUS_LABOR+(Labor_Costs+Labor_Costs*('Sensitivity_Price and Labor'!K$7))))/Budget!$D$5</f>
        <v>0.30216104462222226</v>
      </c>
      <c r="L25" s="12">
        <f>(Oyster_seed_planted*(Survival/100)*$C25-(TOTAL_COSTS__MINUS_LABOR+(Labor_Costs+Labor_Costs*('Sensitivity_Price and Labor'!L$7))))/Budget!$D$5</f>
        <v>0.28930045795555553</v>
      </c>
      <c r="M25" s="12">
        <f>(Oyster_seed_planted*(Survival/100)*$C25-(TOTAL_COSTS__MINUS_LABOR+(Labor_Costs+Labor_Costs*('Sensitivity_Price and Labor'!M$7))))/Budget!$D$5</f>
        <v>0.27643987128888892</v>
      </c>
      <c r="N25" s="12">
        <f>(Oyster_seed_planted*(Survival/100)*$C25-(TOTAL_COSTS__MINUS_LABOR+(Labor_Costs+Labor_Costs*('Sensitivity_Price and Labor'!N$7))))/Budget!$D$5</f>
        <v>0.26357928462222224</v>
      </c>
    </row>
  </sheetData>
  <sheetProtection algorithmName="SHA-512" hashValue="IWJVWfjvygQcYYCI+W3i5lX4l5ryEE5rDTR/4A0J96f0d/VJ1NhsBAvxTas5SwsAm5DMFPYpFK0ByHrZQXhvDQ==" saltValue="1yopx0pEzjZDqnpisroT/w==" spinCount="100000" sheet="1" objects="1" scenarios="1"/>
  <mergeCells count="4">
    <mergeCell ref="B3:N3"/>
    <mergeCell ref="D5:N5"/>
    <mergeCell ref="B7:B25"/>
    <mergeCell ref="B1:N1"/>
  </mergeCells>
  <conditionalFormatting sqref="D8:N25">
    <cfRule type="cellIs" dxfId="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16</vt:i4>
      </vt:variant>
    </vt:vector>
  </HeadingPairs>
  <TitlesOfParts>
    <vt:vector size="21" baseType="lpstr">
      <vt:lpstr>Start Here</vt:lpstr>
      <vt:lpstr>Budget</vt:lpstr>
      <vt:lpstr>Capital costs</vt:lpstr>
      <vt:lpstr>Sensitivity_Price and Survival</vt:lpstr>
      <vt:lpstr>Sensitivity_Price and Labor</vt:lpstr>
      <vt:lpstr>Cages</vt:lpstr>
      <vt:lpstr>CostofProduction</vt:lpstr>
      <vt:lpstr>Farm_size</vt:lpstr>
      <vt:lpstr>Labor_Costs</vt:lpstr>
      <vt:lpstr>NET_RETURNS</vt:lpstr>
      <vt:lpstr>Oyster_seed_planted</vt:lpstr>
      <vt:lpstr>Price</vt:lpstr>
      <vt:lpstr>Profitperoyster</vt:lpstr>
      <vt:lpstr>Stocking_density_at_final_growout</vt:lpstr>
      <vt:lpstr>Survival</vt:lpstr>
      <vt:lpstr>Target_annual_oyster_production</vt:lpstr>
      <vt:lpstr>TOTAL_COSTS</vt:lpstr>
      <vt:lpstr>TOTAL_COSTS__MINUS_LABOR</vt:lpstr>
      <vt:lpstr>TOTAL_FIXED_COSTS</vt:lpstr>
      <vt:lpstr>TOTAL_REVENUE</vt:lpstr>
      <vt:lpstr>TOTAL_VARIABLE_COSTS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Taryn Garlock</dc:creator>
  <cp:lastModifiedBy>Taryn Garlock</cp:lastModifiedBy>
  <dcterms:created xsi:type="dcterms:W3CDTF">2026-04-22T16:02:30Z</dcterms:created>
  <dcterms:modified xsi:type="dcterms:W3CDTF">2026-05-27T19:14:40Z</dcterms:modified>
</cp:coreProperties>
</file>