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1"/>
  <workbookPr/>
  <mc:AlternateContent xmlns:mc="http://schemas.openxmlformats.org/markup-compatibility/2006">
    <mc:Choice Requires="x15">
      <x15ac:absPath xmlns:x15ac="http://schemas.microsoft.com/office/spreadsheetml/2010/11/ac" url="/Volumes/Extcomm/library/Pubs-Products/ANR/ANR-2852 Entrprise Budgets/Grazing Budgets 2023_082523/"/>
    </mc:Choice>
  </mc:AlternateContent>
  <xr:revisionPtr revIDLastSave="0" documentId="8_{0CACF930-F81C-B740-B479-C6D7EB114AAA}" xr6:coauthVersionLast="47" xr6:coauthVersionMax="47" xr10:uidLastSave="{00000000-0000-0000-0000-000000000000}"/>
  <bookViews>
    <workbookView xWindow="21740" yWindow="5160" windowWidth="24640" windowHeight="19800" xr2:uid="{00000000-000D-0000-FFFF-FFFF00000000}"/>
  </bookViews>
  <sheets>
    <sheet name="Grz Stkpiled Fes 2023" sheetId="1" r:id="rId1"/>
    <sheet name="Notes and Assumptions" sheetId="2" r:id="rId2"/>
  </sheets>
  <externalReferences>
    <externalReference r:id="rId3"/>
    <externalReference r:id="rId4"/>
    <externalReference r:id="rId5"/>
  </externalReferences>
  <definedNames>
    <definedName name="\AUTOEXEC" localSheetId="0">'Grz Stkpiled Fes 2023'!$M$1</definedName>
    <definedName name="\AUTOEXEC">'[1]Grz w suppl 2017'!$M$1</definedName>
    <definedName name="\autoexeci">[2]FesEst02!$K$1</definedName>
    <definedName name="\l" localSheetId="0">'Grz Stkpiled Fes 2023'!$M$31:$M$32</definedName>
    <definedName name="\l">'[1]Grz w suppl 2017'!$M$33</definedName>
    <definedName name="\p" localSheetId="0">'Grz Stkpiled Fes 2023'!$M$3</definedName>
    <definedName name="\p">'[1]Grz w suppl 2017'!$M$3</definedName>
    <definedName name="ANCHOR">#REF!</definedName>
    <definedName name="BTABLE" localSheetId="0">'Grz Stkpiled Fes 2023'!$A$18:$G$93</definedName>
    <definedName name="BTABLE">'[1]Grz w suppl 2017'!$A$18:$G$94</definedName>
    <definedName name="BTABLE1" localSheetId="0">'Grz Stkpiled Fes 2023'!$A$18:$H$93</definedName>
    <definedName name="BTABLE1">'[1]Grz w suppl 2017'!$A$18:$H$94</definedName>
    <definedName name="CHEMICAL">#REF!</definedName>
    <definedName name="ETABLE">#REF!</definedName>
    <definedName name="FOOT" localSheetId="0">'Grz Stkpiled Fes 2023'!$M$11:$W$15</definedName>
    <definedName name="FOOT">'[1]Grz w suppl 2017'!$M$16:$V$19</definedName>
    <definedName name="FOOT1" localSheetId="0">'Grz Stkpiled Fes 2023'!$M$16:$V$21</definedName>
    <definedName name="FOOT1">'[1]Grz w suppl 2017'!$M$26:$V$31</definedName>
    <definedName name="FOOT2">'[1]Grz w suppl 2017'!$A$93:$H$94</definedName>
    <definedName name="FOOTJC">#REF!</definedName>
    <definedName name="HEAD">#REF!</definedName>
    <definedName name="HELP" localSheetId="0">'Grz Stkpiled Fes 2023'!$A$1:$G$17</definedName>
    <definedName name="HELP">'[1]Grz w suppl 2017'!$A$1:$G$17</definedName>
    <definedName name="HERB">#REF!</definedName>
    <definedName name="INFO">#REF!</definedName>
    <definedName name="INSECT">#REF!</definedName>
    <definedName name="INVEST" localSheetId="0">'Grz Stkpiled Fes 2023'!$A$97:$L$167</definedName>
    <definedName name="INVEST">'[1]Grz w suppl 2017'!$A$99:$L$170</definedName>
    <definedName name="JWFOOT">#REF!</definedName>
    <definedName name="JWFOOT1">#REF!</definedName>
    <definedName name="JWHELP">#REF!</definedName>
    <definedName name="JWMTABLE">#REF!</definedName>
    <definedName name="JWTABLE">#REF!</definedName>
    <definedName name="JWTABLE1">#REF!</definedName>
    <definedName name="JWTRAC">#REF!</definedName>
    <definedName name="LASERP">'[1]Grz w suppl 2017'!$L$33:$M$35</definedName>
    <definedName name="MTABLE">#REF!</definedName>
    <definedName name="_xlnm.Print_Area" localSheetId="0">'Grz Stkpiled Fes 2023'!$A$18:$I$168</definedName>
    <definedName name="REF">#REF!</definedName>
    <definedName name="rename">[3]FesEstab09!#REF!</definedName>
    <definedName name="STABLE">#REF!</definedName>
    <definedName name="TRAC">#REF!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E39" i="1"/>
  <c r="E38" i="1"/>
  <c r="E41" i="1"/>
  <c r="E40" i="1"/>
  <c r="E32" i="1"/>
  <c r="C24" i="1" l="1"/>
  <c r="C145" i="1" s="1"/>
  <c r="N24" i="1"/>
  <c r="N26" i="1" s="1"/>
  <c r="N25" i="1"/>
  <c r="C32" i="1"/>
  <c r="E45" i="1" s="1"/>
  <c r="F125" i="1"/>
  <c r="C35" i="1"/>
  <c r="E35" i="1"/>
  <c r="E37" i="1"/>
  <c r="G37" i="1" s="1"/>
  <c r="H37" i="1" s="1"/>
  <c r="G38" i="1"/>
  <c r="H38" i="1" s="1"/>
  <c r="G39" i="1"/>
  <c r="H39" i="1" s="1"/>
  <c r="G40" i="1"/>
  <c r="H40" i="1" s="1"/>
  <c r="G41" i="1"/>
  <c r="H41" i="1" s="1"/>
  <c r="E42" i="1"/>
  <c r="G42" i="1" s="1"/>
  <c r="H42" i="1" s="1"/>
  <c r="E43" i="1"/>
  <c r="G43" i="1" s="1"/>
  <c r="H43" i="1" s="1"/>
  <c r="E55" i="1"/>
  <c r="G55" i="1" s="1"/>
  <c r="A94" i="1"/>
  <c r="B94" i="1"/>
  <c r="F104" i="1"/>
  <c r="J104" i="1" s="1"/>
  <c r="K104" i="1" s="1"/>
  <c r="M104" i="1"/>
  <c r="N104" i="1"/>
  <c r="F105" i="1"/>
  <c r="L105" i="1" s="1"/>
  <c r="F106" i="1"/>
  <c r="L106" i="1" s="1"/>
  <c r="M106" i="1"/>
  <c r="F107" i="1"/>
  <c r="F108" i="1"/>
  <c r="J108" i="1" s="1"/>
  <c r="F109" i="1"/>
  <c r="J109" i="1"/>
  <c r="L109" i="1"/>
  <c r="A122" i="1"/>
  <c r="B145" i="1"/>
  <c r="B131" i="1" s="1"/>
  <c r="J105" i="1" l="1"/>
  <c r="L104" i="1"/>
  <c r="E125" i="1"/>
  <c r="H125" i="1"/>
  <c r="C152" i="1"/>
  <c r="C159" i="1"/>
  <c r="C147" i="1"/>
  <c r="C140" i="1" s="1"/>
  <c r="C131" i="1"/>
  <c r="B138" i="1"/>
  <c r="K105" i="1"/>
  <c r="B159" i="1"/>
  <c r="B152" i="1"/>
  <c r="K109" i="1"/>
  <c r="G35" i="1"/>
  <c r="K48" i="1" s="1"/>
  <c r="D125" i="1"/>
  <c r="K10" i="1"/>
  <c r="M109" i="1"/>
  <c r="M105" i="1"/>
  <c r="H55" i="1"/>
  <c r="H35" i="1"/>
  <c r="A23" i="1"/>
  <c r="N27" i="1"/>
  <c r="E36" i="1" s="1"/>
  <c r="C154" i="1"/>
  <c r="C143" i="1"/>
  <c r="C138" i="1"/>
  <c r="G125" i="1"/>
  <c r="L108" i="1"/>
  <c r="J106" i="1"/>
  <c r="K106" i="1" s="1"/>
  <c r="A71" i="1"/>
  <c r="E46" i="1"/>
  <c r="G46" i="1" s="1"/>
  <c r="H46" i="1" s="1"/>
  <c r="G32" i="1"/>
  <c r="M108" i="1"/>
  <c r="C161" i="1"/>
  <c r="F111" i="1"/>
  <c r="K108" i="1"/>
  <c r="C133" i="1"/>
  <c r="M111" i="1" l="1"/>
  <c r="G59" i="1" s="1"/>
  <c r="H59" i="1" s="1"/>
  <c r="L111" i="1"/>
  <c r="G47" i="1" s="1"/>
  <c r="H47" i="1" s="1"/>
  <c r="G69" i="1"/>
  <c r="K111" i="1"/>
  <c r="G58" i="1" s="1"/>
  <c r="H58" i="1" s="1"/>
  <c r="G44" i="1"/>
  <c r="H44" i="1" s="1"/>
  <c r="G36" i="1"/>
  <c r="E56" i="1"/>
  <c r="G56" i="1" s="1"/>
  <c r="G67" i="1"/>
  <c r="G71" i="1" s="1"/>
  <c r="H32" i="1"/>
  <c r="F45" i="1" s="1"/>
  <c r="G45" i="1" s="1"/>
  <c r="H45" i="1" s="1"/>
  <c r="G75" i="1"/>
  <c r="C129" i="1"/>
  <c r="C157" i="1"/>
  <c r="C136" i="1"/>
  <c r="C150" i="1"/>
  <c r="J111" i="1"/>
  <c r="E57" i="1" s="1"/>
  <c r="G57" i="1" s="1"/>
  <c r="H57" i="1" s="1"/>
  <c r="G61" i="1" l="1"/>
  <c r="G145" i="1" s="1"/>
  <c r="H36" i="1"/>
  <c r="E48" i="1"/>
  <c r="G48" i="1" s="1"/>
  <c r="H48" i="1" s="1"/>
  <c r="E140" i="1" l="1"/>
  <c r="F138" i="1"/>
  <c r="F147" i="1"/>
  <c r="H159" i="1"/>
  <c r="F136" i="1"/>
  <c r="D136" i="1"/>
  <c r="F152" i="1"/>
  <c r="F131" i="1"/>
  <c r="G138" i="1"/>
  <c r="E147" i="1"/>
  <c r="E136" i="1"/>
  <c r="H145" i="1"/>
  <c r="D152" i="1"/>
  <c r="D145" i="1"/>
  <c r="G133" i="1"/>
  <c r="E161" i="1"/>
  <c r="G157" i="1"/>
  <c r="G131" i="1"/>
  <c r="H152" i="1"/>
  <c r="D140" i="1"/>
  <c r="E159" i="1"/>
  <c r="F145" i="1"/>
  <c r="D131" i="1"/>
  <c r="G143" i="1"/>
  <c r="D147" i="1"/>
  <c r="E131" i="1"/>
  <c r="F154" i="1"/>
  <c r="E143" i="1"/>
  <c r="D159" i="1"/>
  <c r="H131" i="1"/>
  <c r="D154" i="1"/>
  <c r="D129" i="1"/>
  <c r="H147" i="1"/>
  <c r="F159" i="1"/>
  <c r="F161" i="1"/>
  <c r="E145" i="1"/>
  <c r="H136" i="1"/>
  <c r="E129" i="1"/>
  <c r="H129" i="1"/>
  <c r="H140" i="1"/>
  <c r="E152" i="1"/>
  <c r="F133" i="1"/>
  <c r="F140" i="1"/>
  <c r="G129" i="1"/>
  <c r="G150" i="1"/>
  <c r="G50" i="1"/>
  <c r="G140" i="1"/>
  <c r="E133" i="1"/>
  <c r="H157" i="1"/>
  <c r="E150" i="1"/>
  <c r="G161" i="1"/>
  <c r="E138" i="1"/>
  <c r="D138" i="1"/>
  <c r="F157" i="1"/>
  <c r="H150" i="1"/>
  <c r="G147" i="1"/>
  <c r="G136" i="1"/>
  <c r="G154" i="1"/>
  <c r="E157" i="1"/>
  <c r="F150" i="1"/>
  <c r="H133" i="1"/>
  <c r="G159" i="1"/>
  <c r="H61" i="1"/>
  <c r="D133" i="1"/>
  <c r="D161" i="1"/>
  <c r="E154" i="1"/>
  <c r="H138" i="1"/>
  <c r="D143" i="1"/>
  <c r="F143" i="1"/>
  <c r="H143" i="1"/>
  <c r="H161" i="1"/>
  <c r="F129" i="1"/>
  <c r="H154" i="1"/>
  <c r="D157" i="1"/>
  <c r="D150" i="1"/>
  <c r="G152" i="1"/>
  <c r="H50" i="1" l="1"/>
  <c r="G63" i="1"/>
  <c r="G77" i="1"/>
  <c r="G85" i="1"/>
  <c r="G52" i="1"/>
  <c r="H63" i="1" l="1"/>
  <c r="G73" i="1"/>
  <c r="G79" i="1"/>
  <c r="G87" i="1"/>
  <c r="G65" i="1"/>
  <c r="G81" i="1"/>
  <c r="H52" i="1"/>
  <c r="H65" i="1" l="1"/>
  <c r="G83" i="1"/>
  <c r="K88" i="1"/>
  <c r="K87" i="1" s="1"/>
  <c r="G89" i="1" s="1"/>
  <c r="I56" i="1"/>
  <c r="I42" i="1"/>
  <c r="I43" i="1"/>
  <c r="I40" i="1"/>
  <c r="I38" i="1"/>
  <c r="I39" i="1"/>
  <c r="I41" i="1"/>
  <c r="I37" i="1"/>
  <c r="I35" i="1"/>
  <c r="I47" i="1"/>
  <c r="I55" i="1"/>
  <c r="I46" i="1"/>
  <c r="I58" i="1"/>
  <c r="I59" i="1"/>
  <c r="I57" i="1"/>
  <c r="I44" i="1"/>
  <c r="I45" i="1"/>
  <c r="I48" i="1"/>
  <c r="I36" i="1"/>
  <c r="I61" i="1" l="1"/>
  <c r="G91" i="1"/>
  <c r="I50" i="1"/>
  <c r="I63" i="1"/>
</calcChain>
</file>

<file path=xl/sharedStrings.xml><?xml version="1.0" encoding="utf-8"?>
<sst xmlns="http://schemas.openxmlformats.org/spreadsheetml/2006/main" count="267" uniqueCount="159">
  <si>
    <t>REFERENCES: KEN KELLEY, REGIONAL EXTENSION AGENT</t>
  </si>
  <si>
    <t xml:space="preserve">  (1) PRODUCTION COSTS ARE HELD CONSTANT.</t>
  </si>
  <si>
    <t>--------  dollars / head  --------</t>
  </si>
  <si>
    <t xml:space="preserve"> Steers, ($/Cwt.)</t>
  </si>
  <si>
    <t>(Lbs.)</t>
  </si>
  <si>
    <t>Steers, ($/Cwt.)</t>
  </si>
  <si>
    <t>For Feeder Cattle,</t>
  </si>
  <si>
    <t xml:space="preserve"> Per Head</t>
  </si>
  <si>
    <t># Stocker Calves,</t>
  </si>
  <si>
    <t xml:space="preserve">Price Received </t>
  </si>
  <si>
    <t xml:space="preserve"> Weight Gain</t>
  </si>
  <si>
    <t xml:space="preserve"> For</t>
  </si>
  <si>
    <t>Total</t>
  </si>
  <si>
    <t>Price Paid</t>
  </si>
  <si>
    <t>AT VARIOUS WEIGHT GAINS AND PURCHASE/SELLING PRICES(1)</t>
  </si>
  <si>
    <t>SENSITIVITY OF NET RETURN PER HEAD ABOVE TOTAL COSTS</t>
  </si>
  <si>
    <t>TOTAL</t>
  </si>
  <si>
    <t>PICKUP</t>
  </si>
  <si>
    <t>MINERAL FEEDER</t>
  </si>
  <si>
    <t>WATER TANK, ETC.</t>
  </si>
  <si>
    <t>FEED BUNK</t>
  </si>
  <si>
    <t>CORRAL</t>
  </si>
  <si>
    <t>FENCING</t>
  </si>
  <si>
    <t/>
  </si>
  <si>
    <t xml:space="preserve">   TION</t>
  </si>
  <si>
    <t xml:space="preserve">  VALUE</t>
  </si>
  <si>
    <t xml:space="preserve"> OF LIFE</t>
  </si>
  <si>
    <t xml:space="preserve"> VALUE(%)</t>
  </si>
  <si>
    <t xml:space="preserve"> CHARGED</t>
  </si>
  <si>
    <t>NUMBER</t>
  </si>
  <si>
    <t>COST</t>
  </si>
  <si>
    <t>INSURANCE</t>
  </si>
  <si>
    <t xml:space="preserve"> REPAIRS</t>
  </si>
  <si>
    <t xml:space="preserve"> DEPRECIA-</t>
  </si>
  <si>
    <t xml:space="preserve"> SALVAGE</t>
  </si>
  <si>
    <t>YEARS</t>
  </si>
  <si>
    <t>PROPORTION</t>
  </si>
  <si>
    <t>ESTIMATED</t>
  </si>
  <si>
    <t>ITEM</t>
  </si>
  <si>
    <t>FACILITIES AND EQUIPMENT</t>
  </si>
  <si>
    <t>THESE ESTIMATES SHOULD BE USED AS GUIDES FOR PLANNING PURPOSES ONLY.</t>
  </si>
  <si>
    <t>VALUE OF GAIN PER CWT. ($/CWT)</t>
  </si>
  <si>
    <t>TOTAL PRODUCTION COST PER HEAD ($/HD SOLD)</t>
  </si>
  <si>
    <t>GROSS MARGIN ($/HD SOLD)</t>
  </si>
  <si>
    <t>CWT. OF GAIN/HD. SOLD;</t>
  </si>
  <si>
    <t>COST OF PURCHASED STOCKER CALVES PER HEAD ($/HD SOLD)</t>
  </si>
  <si>
    <t>VALUE OF FEEDER CATTLE PER HEAD ($/HD SOLD)</t>
  </si>
  <si>
    <t>6. NET RETURN ABOVE TOTAL COSTS</t>
  </si>
  <si>
    <t>5. TOTAL COST OF ALL SPECIFIED EXPENSES</t>
  </si>
  <si>
    <t xml:space="preserve">    TOTAL FIXED COSTS</t>
  </si>
  <si>
    <t xml:space="preserve">    DOL.</t>
  </si>
  <si>
    <t xml:space="preserve">    OTHER F.C. ON BLDG. &amp; EQUIP.</t>
  </si>
  <si>
    <t xml:space="preserve">    DEPR. ON BLDG. AND EQUIP.</t>
  </si>
  <si>
    <t xml:space="preserve">    INT. ON BLDG. AND EQUIPMENT</t>
  </si>
  <si>
    <t xml:space="preserve">    ACRE</t>
  </si>
  <si>
    <t xml:space="preserve">    FESCUE GRAZING</t>
  </si>
  <si>
    <t xml:space="preserve">    HD.</t>
  </si>
  <si>
    <t xml:space="preserve">    GENERAL OVERHEAD</t>
  </si>
  <si>
    <t>4. FIXED COST</t>
  </si>
  <si>
    <t>3. INCOME ABOVE VARIABLE COST</t>
  </si>
  <si>
    <t xml:space="preserve">    TOTAL VARIABLE COSTS</t>
  </si>
  <si>
    <t xml:space="preserve">    INTEREST ON OP. CAP.</t>
  </si>
  <si>
    <t xml:space="preserve">    EQUIPMENT (REPAIR)</t>
  </si>
  <si>
    <t xml:space="preserve">    BEEF PROMOTION FEE</t>
  </si>
  <si>
    <t xml:space="preserve">    MARKETING EXPENSES</t>
  </si>
  <si>
    <t xml:space="preserve">    LAND RENTAL</t>
  </si>
  <si>
    <t xml:space="preserve">    HR.</t>
  </si>
  <si>
    <t xml:space="preserve">    LABOR</t>
  </si>
  <si>
    <t xml:space="preserve">    VET &amp; MED</t>
  </si>
  <si>
    <t xml:space="preserve">    TON</t>
  </si>
  <si>
    <t xml:space="preserve">    SUPPLEMENTAL FEED</t>
  </si>
  <si>
    <t xml:space="preserve">    BACKGROUNDING FEED</t>
  </si>
  <si>
    <t xml:space="preserve">    HAY -- SUPPLEMENTAL</t>
  </si>
  <si>
    <t xml:space="preserve">    HAY -- BACKGROUNDING</t>
  </si>
  <si>
    <t xml:space="preserve">    CWT.</t>
  </si>
  <si>
    <t xml:space="preserve">    SALT &amp; MIN.</t>
  </si>
  <si>
    <t xml:space="preserve">    STOCKER CALVES</t>
  </si>
  <si>
    <t>2. VARIABLE COST</t>
  </si>
  <si>
    <t xml:space="preserve">    FEEDER CATTLE</t>
  </si>
  <si>
    <t>1. GROSS RECEIPTS</t>
  </si>
  <si>
    <t>SOLD</t>
  </si>
  <si>
    <t>VALUE/COST</t>
  </si>
  <si>
    <t xml:space="preserve"> COST/UNIT</t>
  </si>
  <si>
    <t xml:space="preserve">% OF </t>
  </si>
  <si>
    <t>$/HEAD</t>
  </si>
  <si>
    <t xml:space="preserve">TOTAL </t>
  </si>
  <si>
    <t>PRICE OR</t>
  </si>
  <si>
    <t>QUANTITY</t>
  </si>
  <si>
    <t xml:space="preserve">    UNIT</t>
  </si>
  <si>
    <t>HEAD</t>
  </si>
  <si>
    <t>PER CWT.</t>
  </si>
  <si>
    <t xml:space="preserve"> LBS. ENDING WEIGHT W/ 2 % SHRINK</t>
  </si>
  <si>
    <t xml:space="preserve"> % DEATH LOSS;</t>
  </si>
  <si>
    <t>NOTE-- STOCK @ 675#/ ACRE (1.5Hd/Ac * 450lbs/Hd) IF TURN IN IS IN LATE DEC. OR EARLY JAN</t>
  </si>
  <si>
    <t>FEEDER CATTLE BASIS</t>
  </si>
  <si>
    <t>MAY</t>
  </si>
  <si>
    <t xml:space="preserve"> DAYS OF SUPPLEMENTAL FEED REQUIRED;</t>
  </si>
  <si>
    <t xml:space="preserve"> HD.STOCKED/AC;</t>
  </si>
  <si>
    <t xml:space="preserve"> DAYS OF BACKGROUNDING FEED REQUIRED;</t>
  </si>
  <si>
    <t xml:space="preserve"> LBS.STOCKED/AC;</t>
  </si>
  <si>
    <t>FUTURES CONTRACT PRICE</t>
  </si>
  <si>
    <t xml:space="preserve"> TOTAL DAYS STOCKER PROGRAM;</t>
  </si>
  <si>
    <t xml:space="preserve"> LBS. ADG.;</t>
  </si>
  <si>
    <t>Fescue grazing - 150#N (Sept 90#N, Feb #60N, Sept 50#P, Sept 50#K, Lime  1ton every three years @ $25/ton spread)</t>
  </si>
  <si>
    <t xml:space="preserve"> LBS. BEG. WT.;</t>
  </si>
  <si>
    <t>ESTIMATED COSTS AND RETURNS; USING RECOMMENDED MANAGEMENT PRACTICES;</t>
  </si>
  <si>
    <t>percent shrink</t>
  </si>
  <si>
    <t xml:space="preserve"> HEAD: STOCKER-STEER BUDGET (STOCKPILED NOVEL ENDOPHYTE FESCUE);</t>
  </si>
  <si>
    <t>NOTE: Changes can be made ONLY in the  HIGHLIGHTED cells.</t>
  </si>
  <si>
    <t>Fes</t>
  </si>
  <si>
    <t>15sup</t>
  </si>
  <si>
    <t>Sup</t>
  </si>
  <si>
    <t>Bkg</t>
  </si>
  <si>
    <t>May</t>
  </si>
  <si>
    <t>Apr</t>
  </si>
  <si>
    <t>Mar</t>
  </si>
  <si>
    <t>Feb</t>
  </si>
  <si>
    <t>Jan</t>
  </si>
  <si>
    <t>Dec</t>
  </si>
  <si>
    <t>Nov</t>
  </si>
  <si>
    <t>Oct</t>
  </si>
  <si>
    <t>Buy October</t>
  </si>
  <si>
    <t>[Truckload capacity is 500 Cwt. Or 50,000#.]</t>
  </si>
  <si>
    <t>Cwt.</t>
  </si>
  <si>
    <t xml:space="preserve"> UTILIZING WINTER ANNUALS.  The worksheet consists of an ENTER-</t>
  </si>
  <si>
    <t xml:space="preserve"> This worksheet reflects the estimated cost/returns of a STOCKERS</t>
  </si>
  <si>
    <t xml:space="preserve">NET RETURNS PER HEAD SOLD:                                  </t>
  </si>
  <si>
    <t>ABOVE VARIABLE COSTS ($/HD)</t>
  </si>
  <si>
    <t xml:space="preserve">                              </t>
  </si>
  <si>
    <t>ABOVE TOTAL COSTS ($/HD)</t>
  </si>
  <si>
    <t xml:space="preserve">BREAKEVEN FEEDER PRICE:       </t>
  </si>
  <si>
    <t>TO COVER VARIABLE COSTS ($/CWT)</t>
  </si>
  <si>
    <t>TO COVER TOTAL COSTS ($/CWT)</t>
  </si>
  <si>
    <t xml:space="preserve">MAXIMUM STOCKER PURCH. PRICE: </t>
  </si>
  <si>
    <t xml:space="preserve">COST OF GAIN PER CWT.:                                          </t>
  </si>
  <si>
    <t xml:space="preserve">                                                                                           </t>
  </si>
  <si>
    <t>Notes and Assumptions</t>
  </si>
  <si>
    <t>Mineral is consumed at 3 oz/day/animal</t>
  </si>
  <si>
    <t>Starter/Reciever feed is consumed at 5lb/head/day</t>
  </si>
  <si>
    <t>Labor is allocated at 4 hours per head purchased</t>
  </si>
  <si>
    <t>Labor price is derived from USDA Regional Gross Wage rates for livestock workers</t>
  </si>
  <si>
    <t>Average Alabama Pasture Rental Rates are derived from USDA Land Rent Estimates for Alabama</t>
  </si>
  <si>
    <t>Marketing expenses are estimated to be 2% feeder cattle sales price</t>
  </si>
  <si>
    <t>Stocking rate is 675#/Acre</t>
  </si>
  <si>
    <t>ALABAMA, 2023-2024</t>
  </si>
  <si>
    <t xml:space="preserve">Hay is consumed at 8lb/head/day for cattle over 450 lbs. </t>
  </si>
  <si>
    <t xml:space="preserve">Hay is consumed at 6lb/head/day for cattle under 450 lbs. </t>
  </si>
  <si>
    <t>Backgrounding feed is consumed at 1% of body weight/head/day</t>
  </si>
  <si>
    <t>Supplemental feed for cattle over 450 lbs is consumed at 1.5% of body weight/head/day</t>
  </si>
  <si>
    <t>Grazing costs are taken from the ACES Fescue Grazing  Budget</t>
  </si>
  <si>
    <t xml:space="preserve">                      KIM MULLENIX, EXTENSION ANIMAL SCIENTIST</t>
  </si>
  <si>
    <t xml:space="preserve">                      SOREN RODNING, EXTENSION VETERINARIAN</t>
  </si>
  <si>
    <t xml:space="preserve">                      MAX RUNGE, EXTENSION ECONOMIST</t>
  </si>
  <si>
    <t xml:space="preserve">The Alabama Cooperative Extension System (Alabama A&amp;M University and Auburn University) </t>
  </si>
  <si>
    <t xml:space="preserve">is an equal opportunity educator, provider, and employer. Trade and brand names are given for </t>
  </si>
  <si>
    <t xml:space="preserve">information purposes only. No guarantee, endorsement, or discrimination among comparable </t>
  </si>
  <si>
    <t xml:space="preserve">products is intended or implied by the Alabama Cooperative Extension System. </t>
  </si>
  <si>
    <t>© 2023 by the Alabama Cooperative Extension System. All rights reserved.</t>
  </si>
  <si>
    <t>STOCKER BUDGET - NOVEL ENDOPHYTE FESCUE PASTURE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</si>
</sst>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_)"/>
    <numFmt numFmtId="165" formatCode="0_)"/>
    <numFmt numFmtId="166" formatCode="#,##0.0000"/>
    <numFmt numFmtId="167" formatCode="&quot;$&quot;#,##0.00"/>
  </numFmts>
  <fonts count="13" x14ac:knownFonts="1">
    <font>
      <sz val="10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12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2"/>
      <color rgb="FF0000FF"/>
      <name val="Arial"/>
      <family val="2"/>
    </font>
    <font>
      <b/>
      <sz val="26"/>
      <name val="Arial"/>
      <family val="2"/>
    </font>
    <font>
      <sz val="20"/>
      <color theme="1"/>
      <name val="Calibri"/>
      <family val="2"/>
      <scheme val="minor"/>
    </font>
    <font>
      <b/>
      <sz val="10"/>
      <color rgb="FF00206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/>
    <xf numFmtId="164" fontId="1" fillId="0" borderId="0"/>
    <xf numFmtId="164" fontId="1" fillId="0" borderId="0"/>
  </cellStyleXfs>
  <cellXfs count="118">
    <xf numFmtId="0" fontId="0" fillId="0" borderId="0" xfId="0"/>
    <xf numFmtId="164" fontId="2" fillId="0" borderId="0" xfId="1" applyFont="1"/>
    <xf numFmtId="164" fontId="3" fillId="0" borderId="0" xfId="1" applyFont="1"/>
    <xf numFmtId="164" fontId="3" fillId="2" borderId="0" xfId="1" applyFont="1" applyFill="1"/>
    <xf numFmtId="164" fontId="2" fillId="2" borderId="0" xfId="1" applyFont="1" applyFill="1"/>
    <xf numFmtId="164" fontId="3" fillId="2" borderId="0" xfId="2" applyFont="1" applyFill="1"/>
    <xf numFmtId="164" fontId="4" fillId="2" borderId="0" xfId="2" applyFont="1" applyFill="1" applyAlignment="1" applyProtection="1">
      <alignment horizontal="left"/>
      <protection locked="0"/>
    </xf>
    <xf numFmtId="164" fontId="4" fillId="2" borderId="0" xfId="1" applyFont="1" applyFill="1" applyAlignment="1" applyProtection="1">
      <alignment horizontal="left"/>
      <protection locked="0"/>
    </xf>
    <xf numFmtId="165" fontId="3" fillId="2" borderId="0" xfId="1" applyNumberFormat="1" applyFont="1" applyFill="1" applyAlignment="1">
      <alignment horizontal="left"/>
    </xf>
    <xf numFmtId="164" fontId="3" fillId="2" borderId="1" xfId="1" applyFont="1" applyFill="1" applyBorder="1"/>
    <xf numFmtId="164" fontId="3" fillId="2" borderId="2" xfId="1" applyFont="1" applyFill="1" applyBorder="1"/>
    <xf numFmtId="164" fontId="3" fillId="2" borderId="3" xfId="1" applyFont="1" applyFill="1" applyBorder="1"/>
    <xf numFmtId="164" fontId="3" fillId="2" borderId="0" xfId="1" quotePrefix="1" applyFont="1" applyFill="1"/>
    <xf numFmtId="164" fontId="3" fillId="2" borderId="4" xfId="1" quotePrefix="1" applyFont="1" applyFill="1" applyBorder="1"/>
    <xf numFmtId="164" fontId="3" fillId="2" borderId="5" xfId="1" quotePrefix="1" applyFont="1" applyFill="1" applyBorder="1"/>
    <xf numFmtId="165" fontId="3" fillId="2" borderId="0" xfId="1" applyNumberFormat="1" applyFont="1" applyFill="1" applyAlignment="1">
      <alignment horizontal="center"/>
    </xf>
    <xf numFmtId="164" fontId="3" fillId="2" borderId="0" xfId="1" applyFont="1" applyFill="1" applyAlignment="1">
      <alignment horizontal="center"/>
    </xf>
    <xf numFmtId="164" fontId="3" fillId="2" borderId="4" xfId="1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164" fontId="3" fillId="2" borderId="4" xfId="1" applyFont="1" applyFill="1" applyBorder="1"/>
    <xf numFmtId="165" fontId="4" fillId="2" borderId="4" xfId="1" applyNumberFormat="1" applyFont="1" applyFill="1" applyBorder="1" applyAlignment="1" applyProtection="1">
      <alignment horizontal="center"/>
      <protection locked="0"/>
    </xf>
    <xf numFmtId="164" fontId="3" fillId="2" borderId="6" xfId="1" quotePrefix="1" applyFont="1" applyFill="1" applyBorder="1"/>
    <xf numFmtId="164" fontId="3" fillId="2" borderId="0" xfId="1" quotePrefix="1" applyFont="1" applyFill="1" applyAlignment="1">
      <alignment horizontal="left"/>
    </xf>
    <xf numFmtId="164" fontId="3" fillId="2" borderId="7" xfId="1" applyFont="1" applyFill="1" applyBorder="1"/>
    <xf numFmtId="165" fontId="3" fillId="2" borderId="0" xfId="1" quotePrefix="1" applyNumberFormat="1" applyFont="1" applyFill="1" applyAlignment="1">
      <alignment horizontal="center"/>
    </xf>
    <xf numFmtId="164" fontId="3" fillId="2" borderId="0" xfId="1" quotePrefix="1" applyFont="1" applyFill="1" applyAlignment="1">
      <alignment horizontal="center"/>
    </xf>
    <xf numFmtId="0" fontId="3" fillId="2" borderId="0" xfId="1" applyNumberFormat="1" applyFont="1" applyFill="1" applyAlignment="1">
      <alignment horizontal="right"/>
    </xf>
    <xf numFmtId="164" fontId="3" fillId="2" borderId="0" xfId="1" applyFont="1" applyFill="1" applyAlignment="1">
      <alignment horizontal="left"/>
    </xf>
    <xf numFmtId="164" fontId="3" fillId="2" borderId="0" xfId="2" applyFont="1" applyFill="1" applyAlignment="1">
      <alignment horizontal="left"/>
    </xf>
    <xf numFmtId="4" fontId="3" fillId="2" borderId="0" xfId="1" applyNumberFormat="1" applyFont="1" applyFill="1"/>
    <xf numFmtId="164" fontId="4" fillId="2" borderId="0" xfId="1" applyFont="1" applyFill="1" applyAlignment="1" applyProtection="1">
      <alignment horizontal="fill"/>
      <protection locked="0"/>
    </xf>
    <xf numFmtId="164" fontId="4" fillId="2" borderId="0" xfId="1" applyFont="1" applyFill="1" applyProtection="1">
      <protection locked="0"/>
    </xf>
    <xf numFmtId="3" fontId="3" fillId="2" borderId="8" xfId="1" applyNumberFormat="1" applyFont="1" applyFill="1" applyBorder="1"/>
    <xf numFmtId="165" fontId="5" fillId="0" borderId="0" xfId="1" applyNumberFormat="1" applyFont="1" applyProtection="1">
      <protection locked="0"/>
    </xf>
    <xf numFmtId="4" fontId="4" fillId="2" borderId="0" xfId="1" applyNumberFormat="1" applyFont="1" applyFill="1" applyProtection="1">
      <protection locked="0"/>
    </xf>
    <xf numFmtId="3" fontId="3" fillId="2" borderId="0" xfId="1" applyNumberFormat="1" applyFont="1" applyFill="1"/>
    <xf numFmtId="164" fontId="3" fillId="2" borderId="0" xfId="1" applyFont="1" applyFill="1" applyAlignment="1">
      <alignment horizontal="fill"/>
    </xf>
    <xf numFmtId="164" fontId="3" fillId="2" borderId="0" xfId="1" applyFont="1" applyFill="1" applyAlignment="1">
      <alignment horizontal="right"/>
    </xf>
    <xf numFmtId="164" fontId="2" fillId="0" borderId="0" xfId="1" applyFont="1" applyAlignment="1">
      <alignment horizontal="left"/>
    </xf>
    <xf numFmtId="164" fontId="3" fillId="2" borderId="2" xfId="1" applyFont="1" applyFill="1" applyBorder="1" applyAlignment="1">
      <alignment horizontal="right"/>
    </xf>
    <xf numFmtId="164" fontId="3" fillId="2" borderId="2" xfId="1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right"/>
    </xf>
    <xf numFmtId="165" fontId="3" fillId="2" borderId="0" xfId="1" applyNumberFormat="1" applyFont="1" applyFill="1" applyAlignment="1">
      <alignment horizontal="right"/>
    </xf>
    <xf numFmtId="164" fontId="6" fillId="0" borderId="0" xfId="1" applyFont="1"/>
    <xf numFmtId="164" fontId="7" fillId="2" borderId="0" xfId="1" applyFont="1" applyFill="1"/>
    <xf numFmtId="164" fontId="7" fillId="2" borderId="0" xfId="1" applyFont="1" applyFill="1" applyAlignment="1">
      <alignment horizontal="left"/>
    </xf>
    <xf numFmtId="0" fontId="8" fillId="2" borderId="0" xfId="1" applyNumberFormat="1" applyFont="1" applyFill="1" applyProtection="1">
      <protection locked="0"/>
    </xf>
    <xf numFmtId="4" fontId="3" fillId="2" borderId="8" xfId="1" applyNumberFormat="1" applyFont="1" applyFill="1" applyBorder="1"/>
    <xf numFmtId="164" fontId="3" fillId="2" borderId="8" xfId="1" applyFont="1" applyFill="1" applyBorder="1"/>
    <xf numFmtId="4" fontId="3" fillId="2" borderId="0" xfId="1" applyNumberFormat="1" applyFont="1" applyFill="1" applyAlignment="1">
      <alignment horizontal="left"/>
    </xf>
    <xf numFmtId="164" fontId="2" fillId="0" borderId="8" xfId="1" applyFont="1" applyBorder="1"/>
    <xf numFmtId="10" fontId="3" fillId="2" borderId="8" xfId="1" applyNumberFormat="1" applyFont="1" applyFill="1" applyBorder="1" applyAlignment="1" applyProtection="1">
      <alignment horizontal="right"/>
      <protection locked="0"/>
    </xf>
    <xf numFmtId="164" fontId="3" fillId="2" borderId="8" xfId="1" applyFont="1" applyFill="1" applyBorder="1" applyAlignment="1" applyProtection="1">
      <alignment horizontal="right"/>
      <protection locked="0"/>
    </xf>
    <xf numFmtId="164" fontId="3" fillId="2" borderId="8" xfId="1" quotePrefix="1" applyFont="1" applyFill="1" applyBorder="1" applyAlignment="1">
      <alignment horizontal="left"/>
    </xf>
    <xf numFmtId="10" fontId="3" fillId="2" borderId="0" xfId="1" applyNumberFormat="1" applyFont="1" applyFill="1" applyAlignment="1" applyProtection="1">
      <alignment horizontal="right"/>
      <protection locked="0"/>
    </xf>
    <xf numFmtId="164" fontId="3" fillId="2" borderId="0" xfId="1" applyFont="1" applyFill="1" applyAlignment="1" applyProtection="1">
      <alignment horizontal="right"/>
      <protection locked="0"/>
    </xf>
    <xf numFmtId="10" fontId="3" fillId="2" borderId="9" xfId="1" applyNumberFormat="1" applyFont="1" applyFill="1" applyBorder="1" applyAlignment="1" applyProtection="1">
      <alignment horizontal="right"/>
      <protection locked="0"/>
    </xf>
    <xf numFmtId="164" fontId="3" fillId="2" borderId="9" xfId="1" applyFont="1" applyFill="1" applyBorder="1" applyAlignment="1" applyProtection="1">
      <alignment horizontal="right"/>
      <protection locked="0"/>
    </xf>
    <xf numFmtId="4" fontId="3" fillId="2" borderId="9" xfId="1" applyNumberFormat="1" applyFont="1" applyFill="1" applyBorder="1"/>
    <xf numFmtId="4" fontId="3" fillId="2" borderId="9" xfId="1" applyNumberFormat="1" applyFont="1" applyFill="1" applyBorder="1" applyAlignment="1">
      <alignment horizontal="left"/>
    </xf>
    <xf numFmtId="164" fontId="3" fillId="2" borderId="9" xfId="1" applyFont="1" applyFill="1" applyBorder="1"/>
    <xf numFmtId="164" fontId="3" fillId="2" borderId="9" xfId="1" quotePrefix="1" applyFont="1" applyFill="1" applyBorder="1" applyAlignment="1">
      <alignment horizontal="left"/>
    </xf>
    <xf numFmtId="4" fontId="3" fillId="2" borderId="0" xfId="1" applyNumberFormat="1" applyFont="1" applyFill="1" applyAlignment="1">
      <alignment horizontal="right"/>
    </xf>
    <xf numFmtId="10" fontId="3" fillId="2" borderId="10" xfId="1" applyNumberFormat="1" applyFont="1" applyFill="1" applyBorder="1" applyAlignment="1" applyProtection="1">
      <alignment horizontal="right"/>
      <protection locked="0"/>
    </xf>
    <xf numFmtId="164" fontId="3" fillId="2" borderId="10" xfId="1" applyFont="1" applyFill="1" applyBorder="1" applyAlignment="1" applyProtection="1">
      <alignment horizontal="right"/>
      <protection locked="0"/>
    </xf>
    <xf numFmtId="4" fontId="3" fillId="2" borderId="10" xfId="1" applyNumberFormat="1" applyFont="1" applyFill="1" applyBorder="1"/>
    <xf numFmtId="166" fontId="4" fillId="2" borderId="0" xfId="1" applyNumberFormat="1" applyFont="1" applyFill="1" applyProtection="1">
      <protection locked="0"/>
    </xf>
    <xf numFmtId="164" fontId="3" fillId="2" borderId="0" xfId="3" applyFont="1" applyFill="1" applyAlignment="1">
      <alignment horizontal="left"/>
    </xf>
    <xf numFmtId="164" fontId="4" fillId="2" borderId="0" xfId="1" applyFont="1" applyFill="1" applyAlignment="1" applyProtection="1">
      <alignment horizontal="right"/>
      <protection locked="0"/>
    </xf>
    <xf numFmtId="2" fontId="3" fillId="2" borderId="0" xfId="1" applyNumberFormat="1" applyFont="1" applyFill="1"/>
    <xf numFmtId="164" fontId="5" fillId="2" borderId="0" xfId="1" applyFont="1" applyFill="1" applyAlignment="1" applyProtection="1">
      <alignment horizontal="left"/>
      <protection locked="0"/>
    </xf>
    <xf numFmtId="164" fontId="3" fillId="2" borderId="2" xfId="1" applyFont="1" applyFill="1" applyBorder="1" applyAlignment="1" applyProtection="1">
      <alignment horizontal="center"/>
      <protection locked="0"/>
    </xf>
    <xf numFmtId="2" fontId="3" fillId="0" borderId="0" xfId="1" applyNumberFormat="1" applyFont="1" applyAlignment="1" applyProtection="1">
      <alignment horizontal="right"/>
      <protection locked="0"/>
    </xf>
    <xf numFmtId="164" fontId="5" fillId="0" borderId="0" xfId="1" applyFont="1" applyAlignment="1" applyProtection="1">
      <alignment horizontal="left"/>
      <protection locked="0"/>
    </xf>
    <xf numFmtId="164" fontId="3" fillId="2" borderId="11" xfId="1" applyFont="1" applyFill="1" applyBorder="1" applyAlignment="1" applyProtection="1">
      <alignment horizontal="center"/>
      <protection locked="0"/>
    </xf>
    <xf numFmtId="164" fontId="3" fillId="2" borderId="0" xfId="1" quotePrefix="1" applyFont="1" applyFill="1" applyAlignment="1" applyProtection="1">
      <alignment horizontal="center"/>
      <protection locked="0"/>
    </xf>
    <xf numFmtId="164" fontId="8" fillId="2" borderId="2" xfId="1" applyFont="1" applyFill="1" applyBorder="1" applyAlignment="1" applyProtection="1">
      <alignment horizontal="left"/>
      <protection locked="0"/>
    </xf>
    <xf numFmtId="0" fontId="3" fillId="2" borderId="2" xfId="0" applyFont="1" applyFill="1" applyBorder="1"/>
    <xf numFmtId="164" fontId="3" fillId="2" borderId="2" xfId="2" applyFont="1" applyFill="1" applyBorder="1"/>
    <xf numFmtId="164" fontId="2" fillId="2" borderId="2" xfId="1" applyFont="1" applyFill="1" applyBorder="1"/>
    <xf numFmtId="164" fontId="3" fillId="2" borderId="2" xfId="1" applyFont="1" applyFill="1" applyBorder="1" applyAlignment="1">
      <alignment horizontal="left"/>
    </xf>
    <xf numFmtId="1" fontId="7" fillId="2" borderId="2" xfId="1" applyNumberFormat="1" applyFont="1" applyFill="1" applyBorder="1"/>
    <xf numFmtId="2" fontId="8" fillId="2" borderId="2" xfId="1" applyNumberFormat="1" applyFont="1" applyFill="1" applyBorder="1" applyAlignment="1" applyProtection="1">
      <alignment horizontal="right"/>
      <protection locked="0"/>
    </xf>
    <xf numFmtId="164" fontId="2" fillId="3" borderId="0" xfId="1" applyFont="1" applyFill="1"/>
    <xf numFmtId="164" fontId="2" fillId="3" borderId="0" xfId="2" applyFont="1" applyFill="1"/>
    <xf numFmtId="0" fontId="3" fillId="2" borderId="0" xfId="0" applyFont="1" applyFill="1"/>
    <xf numFmtId="164" fontId="3" fillId="2" borderId="0" xfId="2" applyFont="1" applyFill="1" applyAlignment="1">
      <alignment horizontal="right"/>
    </xf>
    <xf numFmtId="0" fontId="8" fillId="2" borderId="0" xfId="1" applyNumberFormat="1" applyFont="1" applyFill="1" applyAlignment="1" applyProtection="1">
      <alignment horizontal="right"/>
      <protection locked="0"/>
    </xf>
    <xf numFmtId="2" fontId="7" fillId="2" borderId="0" xfId="1" applyNumberFormat="1" applyFont="1" applyFill="1" applyAlignment="1" applyProtection="1">
      <alignment horizontal="right"/>
      <protection locked="0"/>
    </xf>
    <xf numFmtId="0" fontId="3" fillId="2" borderId="0" xfId="0" quotePrefix="1" applyFont="1" applyFill="1"/>
    <xf numFmtId="0" fontId="2" fillId="2" borderId="0" xfId="0" applyFont="1" applyFill="1"/>
    <xf numFmtId="2" fontId="8" fillId="2" borderId="0" xfId="1" applyNumberFormat="1" applyFont="1" applyFill="1" applyAlignment="1" applyProtection="1">
      <alignment horizontal="right"/>
      <protection locked="0"/>
    </xf>
    <xf numFmtId="1" fontId="8" fillId="2" borderId="0" xfId="1" applyNumberFormat="1" applyFont="1" applyFill="1" applyAlignment="1" applyProtection="1">
      <alignment horizontal="right"/>
      <protection locked="0"/>
    </xf>
    <xf numFmtId="164" fontId="6" fillId="0" borderId="0" xfId="1" applyFont="1" applyAlignment="1">
      <alignment horizontal="left"/>
    </xf>
    <xf numFmtId="164" fontId="4" fillId="0" borderId="0" xfId="1" applyFont="1" applyAlignment="1" applyProtection="1">
      <alignment horizontal="left"/>
      <protection locked="0"/>
    </xf>
    <xf numFmtId="164" fontId="2" fillId="0" borderId="0" xfId="1" applyFont="1" applyAlignment="1">
      <alignment horizontal="right"/>
    </xf>
    <xf numFmtId="164" fontId="2" fillId="0" borderId="0" xfId="1" quotePrefix="1" applyFont="1"/>
    <xf numFmtId="164" fontId="10" fillId="0" borderId="0" xfId="1" applyFont="1" applyAlignment="1">
      <alignment horizontal="left"/>
    </xf>
    <xf numFmtId="164" fontId="2" fillId="0" borderId="0" xfId="2" applyFont="1"/>
    <xf numFmtId="165" fontId="2" fillId="0" borderId="0" xfId="1" applyNumberFormat="1" applyFont="1"/>
    <xf numFmtId="164" fontId="2" fillId="0" borderId="0" xfId="1" applyFont="1" applyAlignment="1">
      <alignment horizontal="fill"/>
    </xf>
    <xf numFmtId="164" fontId="2" fillId="0" borderId="0" xfId="1" applyFont="1" applyProtection="1">
      <protection locked="0"/>
    </xf>
    <xf numFmtId="1" fontId="8" fillId="2" borderId="0" xfId="1" applyNumberFormat="1" applyFont="1" applyFill="1" applyProtection="1">
      <protection locked="0"/>
    </xf>
    <xf numFmtId="167" fontId="9" fillId="2" borderId="0" xfId="2" applyNumberFormat="1" applyFont="1" applyFill="1" applyProtection="1">
      <protection locked="0"/>
    </xf>
    <xf numFmtId="167" fontId="9" fillId="2" borderId="2" xfId="2" applyNumberFormat="1" applyFont="1" applyFill="1" applyBorder="1" applyProtection="1">
      <protection locked="0"/>
    </xf>
    <xf numFmtId="4" fontId="3" fillId="2" borderId="0" xfId="1" applyNumberFormat="1" applyFont="1" applyFill="1" applyProtection="1">
      <protection locked="0"/>
    </xf>
    <xf numFmtId="164" fontId="3" fillId="2" borderId="0" xfId="1" applyFont="1" applyFill="1" applyAlignment="1" applyProtection="1">
      <alignment horizontal="left"/>
      <protection locked="0"/>
    </xf>
    <xf numFmtId="3" fontId="3" fillId="2" borderId="0" xfId="1" applyNumberFormat="1" applyFont="1" applyFill="1" applyProtection="1">
      <protection locked="0"/>
    </xf>
    <xf numFmtId="164" fontId="3" fillId="2" borderId="0" xfId="1" applyFont="1" applyFill="1" applyProtection="1">
      <protection locked="0"/>
    </xf>
    <xf numFmtId="164" fontId="3" fillId="2" borderId="8" xfId="1" applyFont="1" applyFill="1" applyBorder="1" applyAlignment="1" applyProtection="1">
      <alignment horizontal="left"/>
      <protection locked="0"/>
    </xf>
    <xf numFmtId="3" fontId="3" fillId="2" borderId="8" xfId="1" applyNumberFormat="1" applyFont="1" applyFill="1" applyBorder="1" applyProtection="1">
      <protection locked="0"/>
    </xf>
    <xf numFmtId="164" fontId="3" fillId="2" borderId="8" xfId="1" applyFont="1" applyFill="1" applyBorder="1" applyProtection="1">
      <protection locked="0"/>
    </xf>
    <xf numFmtId="4" fontId="3" fillId="2" borderId="8" xfId="1" applyNumberFormat="1" applyFont="1" applyFill="1" applyBorder="1" applyProtection="1">
      <protection locked="0"/>
    </xf>
    <xf numFmtId="165" fontId="2" fillId="0" borderId="0" xfId="1" applyNumberFormat="1" applyFont="1" applyProtection="1">
      <protection locked="0"/>
    </xf>
    <xf numFmtId="2" fontId="6" fillId="0" borderId="0" xfId="1" applyNumberFormat="1" applyFont="1" applyProtection="1">
      <protection locked="0"/>
    </xf>
    <xf numFmtId="0" fontId="11" fillId="0" borderId="0" xfId="0" applyFont="1"/>
    <xf numFmtId="0" fontId="0" fillId="0" borderId="0" xfId="0" applyAlignment="1">
      <alignment horizontal="left"/>
    </xf>
    <xf numFmtId="164" fontId="12" fillId="4" borderId="0" xfId="0" applyNumberFormat="1" applyFont="1" applyFill="1" applyAlignment="1" applyProtection="1">
      <alignment horizontal="left"/>
      <protection locked="0"/>
    </xf>
  </cellXfs>
  <cellStyles count="4">
    <cellStyle name="Normal" xfId="0" builtinId="0"/>
    <cellStyle name="Normal_FLSTKGZL2000-2001" xfId="2" xr:uid="{00000000-0005-0000-0000-000001000000}"/>
    <cellStyle name="Normal_FLSTKGZMFESCUE2000blackbelt111300" xfId="1" xr:uid="{00000000-0005-0000-0000-000002000000}"/>
    <cellStyle name="Normal_FLSTKLIT2000-200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71967</xdr:rowOff>
    </xdr:from>
    <xdr:ext cx="6261100" cy="2311144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1967"/>
          <a:ext cx="6261100" cy="231114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igermailauburn-my.sharepoint.com/personal/kellewi_auburn_edu/Documents/Desktop/Budgets/Stocker%20Budgets/Stockers%20on%20Winter%20Annuals%20with%20Supplemental%20Fe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g.auburn.edu/Documents%20and%20Settings/User/My%20Documents/Davis,%20MA/Buds2002/FalForage02/fal%20forage%202002-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igermailauburn-my.sharepoint.com/Documents%20and%20Settings/prevajw/Desktop/Fall%20Forage%20Budget%202009-2010%20%2007%2029%2009%20%20%20V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z w suppl 2017"/>
    </sheetNames>
    <sheetDataSet>
      <sheetData sheetId="0">
        <row r="14">
          <cell r="A14" t="str">
            <v xml:space="preserve"> STOCKERS  ON  WINTER  ANNUALS  &amp;  SUPPLEMENTAL FEED  BUDGET</v>
          </cell>
        </row>
        <row r="17">
          <cell r="B17" t="str">
            <v>NOTE: Changes can be made ONLY in the  HIGHLIGHTED cells.</v>
          </cell>
        </row>
        <row r="18">
          <cell r="A18">
            <v>60</v>
          </cell>
          <cell r="B18" t="str">
            <v xml:space="preserve"> HEAD: STOCKER-STEER BUDGET (WINTER GRAZING WITH SUPPLEMENTAL RATION);</v>
          </cell>
        </row>
        <row r="19">
          <cell r="B19" t="str">
            <v xml:space="preserve">  ESTIMATED COSTS AND RETURNS; USING RECOMMENDED MANAGEMENT PRACTICES;</v>
          </cell>
        </row>
        <row r="20">
          <cell r="A20">
            <v>400</v>
          </cell>
          <cell r="B20" t="str">
            <v xml:space="preserve"> LBS. BEG. WT.;</v>
          </cell>
        </row>
        <row r="21">
          <cell r="A21">
            <v>2.6</v>
          </cell>
          <cell r="B21" t="str">
            <v xml:space="preserve"> LBS. ADG;</v>
          </cell>
          <cell r="C21">
            <v>2</v>
          </cell>
          <cell r="D21" t="str">
            <v xml:space="preserve"> % DEATH LOSS;</v>
          </cell>
          <cell r="G21" t="str">
            <v>MAY</v>
          </cell>
          <cell r="H21" t="str">
            <v>FUTURES CONTRACT PRICE</v>
          </cell>
        </row>
        <row r="22">
          <cell r="A22">
            <v>800</v>
          </cell>
          <cell r="B22" t="str">
            <v xml:space="preserve"> LBS. STOCKED/AC;</v>
          </cell>
          <cell r="C22">
            <v>200</v>
          </cell>
          <cell r="D22" t="str">
            <v xml:space="preserve"> TOTAL DAYS IN STOCKER PROGRAM;</v>
          </cell>
          <cell r="H22">
            <v>143</v>
          </cell>
        </row>
        <row r="23">
          <cell r="A23">
            <v>2</v>
          </cell>
          <cell r="B23" t="str">
            <v xml:space="preserve"> HD. STOCKED/AC;</v>
          </cell>
          <cell r="C23">
            <v>14</v>
          </cell>
          <cell r="D23" t="str">
            <v>DAYS OF STARTER/RECEIVING FEED REQUIRED; 5LB./DAY</v>
          </cell>
          <cell r="G23" t="str">
            <v>MAY</v>
          </cell>
          <cell r="H23" t="str">
            <v>FEEDER CATTLE BASIS</v>
          </cell>
        </row>
        <row r="24">
          <cell r="A24">
            <v>60</v>
          </cell>
          <cell r="B24" t="str">
            <v xml:space="preserve"> % GRAIN IN RATION</v>
          </cell>
          <cell r="C24">
            <v>8</v>
          </cell>
          <cell r="D24" t="str">
            <v xml:space="preserve"> LBS. OF SUPPLEMENT FED/HD./DAY*;</v>
          </cell>
          <cell r="H24">
            <v>-12</v>
          </cell>
        </row>
        <row r="25">
          <cell r="C25">
            <v>902</v>
          </cell>
          <cell r="D25" t="str">
            <v xml:space="preserve"> LBS. ENDING WEIGHT W/ 2 % SHRINK;</v>
          </cell>
        </row>
        <row r="26">
          <cell r="M26" t="str">
            <v>initial calf pounds</v>
          </cell>
        </row>
        <row r="27">
          <cell r="A27" t="str">
            <v>ALABAMA, 2016-2017</v>
          </cell>
          <cell r="M27" t="str">
            <v>hd stocked/ac</v>
          </cell>
        </row>
        <row r="28">
          <cell r="C28" t="str">
            <v>HEAD</v>
          </cell>
          <cell r="D28" t="str">
            <v>UNIT</v>
          </cell>
          <cell r="E28" t="str">
            <v>QUANTITY</v>
          </cell>
          <cell r="F28" t="str">
            <v>PRICE OR</v>
          </cell>
          <cell r="G28" t="str">
            <v xml:space="preserve">Total </v>
          </cell>
          <cell r="H28" t="str">
            <v>$/Head</v>
          </cell>
        </row>
        <row r="29">
          <cell r="B29" t="str">
            <v>ITEM</v>
          </cell>
          <cell r="F29" t="str">
            <v>COST/UNIT</v>
          </cell>
          <cell r="G29" t="str">
            <v>Value/Cost</v>
          </cell>
          <cell r="H29" t="str">
            <v xml:space="preserve">Sold </v>
          </cell>
        </row>
        <row r="32">
          <cell r="A32" t="str">
            <v>1.GROSS RECEIPTS</v>
          </cell>
        </row>
        <row r="33">
          <cell r="A33" t="str">
            <v xml:space="preserve">     FEEDER CATTLE</v>
          </cell>
          <cell r="C33">
            <v>59</v>
          </cell>
          <cell r="D33" t="str">
            <v xml:space="preserve">    CWT.</v>
          </cell>
          <cell r="E33">
            <v>9.02</v>
          </cell>
          <cell r="F33">
            <v>131</v>
          </cell>
          <cell r="G33">
            <v>69715.579999999987</v>
          </cell>
          <cell r="H33">
            <v>1181.6199999999999</v>
          </cell>
        </row>
        <row r="35">
          <cell r="A35" t="str">
            <v>2. VARIABLE COST</v>
          </cell>
          <cell r="E35"/>
          <cell r="F35"/>
          <cell r="G35"/>
        </row>
        <row r="36">
          <cell r="A36" t="str">
            <v xml:space="preserve">     STOCKER CALVES</v>
          </cell>
          <cell r="C36">
            <v>60</v>
          </cell>
          <cell r="D36" t="str">
            <v xml:space="preserve">    CWT.</v>
          </cell>
          <cell r="E36">
            <v>4</v>
          </cell>
          <cell r="F36">
            <v>168</v>
          </cell>
          <cell r="G36">
            <v>40320</v>
          </cell>
          <cell r="H36">
            <v>683.38983050847457</v>
          </cell>
        </row>
        <row r="37">
          <cell r="A37" t="str">
            <v xml:space="preserve">     WINTER GRAZING</v>
          </cell>
          <cell r="D37" t="str">
            <v xml:space="preserve">    ACRE</v>
          </cell>
          <cell r="E37">
            <v>30</v>
          </cell>
          <cell r="F37">
            <v>143</v>
          </cell>
          <cell r="G37">
            <v>4290</v>
          </cell>
          <cell r="H37">
            <v>72.711864406779668</v>
          </cell>
        </row>
        <row r="38">
          <cell r="A38" t="str">
            <v xml:space="preserve">     SALT &amp; MIN.</v>
          </cell>
          <cell r="D38" t="str">
            <v xml:space="preserve">    CWT.</v>
          </cell>
          <cell r="E38">
            <v>22.5</v>
          </cell>
          <cell r="F38">
            <v>30</v>
          </cell>
          <cell r="G38">
            <v>675</v>
          </cell>
          <cell r="H38">
            <v>11.440677966101696</v>
          </cell>
        </row>
        <row r="39">
          <cell r="A39" t="str">
            <v xml:space="preserve">    STARTER/RECEIVING FEED</v>
          </cell>
          <cell r="D39" t="str">
            <v xml:space="preserve">    TON</v>
          </cell>
          <cell r="E39">
            <v>2.1</v>
          </cell>
          <cell r="F39">
            <v>250</v>
          </cell>
          <cell r="G39">
            <v>525</v>
          </cell>
          <cell r="H39">
            <v>8.898305084745763</v>
          </cell>
        </row>
        <row r="40">
          <cell r="A40" t="str">
            <v xml:space="preserve">     GRAIN &amp; BY-PRODUCT SUPPLEMENT</v>
          </cell>
          <cell r="D40" t="str">
            <v xml:space="preserve">    TON</v>
          </cell>
          <cell r="E40">
            <v>47.6</v>
          </cell>
          <cell r="F40">
            <v>175</v>
          </cell>
          <cell r="G40">
            <v>8330</v>
          </cell>
          <cell r="H40">
            <v>141.18644067796609</v>
          </cell>
        </row>
        <row r="41">
          <cell r="A41" t="str">
            <v xml:space="preserve">     HAY</v>
          </cell>
          <cell r="D41" t="str">
            <v xml:space="preserve">    TON</v>
          </cell>
          <cell r="E41">
            <v>5.95</v>
          </cell>
          <cell r="F41">
            <v>175</v>
          </cell>
          <cell r="G41">
            <v>1041.25</v>
          </cell>
          <cell r="H41">
            <v>17.648305084745761</v>
          </cell>
        </row>
        <row r="42">
          <cell r="A42" t="str">
            <v xml:space="preserve">     VET &amp; MED</v>
          </cell>
          <cell r="D42" t="str">
            <v xml:space="preserve">    HD.</v>
          </cell>
          <cell r="E42">
            <v>60</v>
          </cell>
          <cell r="F42">
            <v>23.89</v>
          </cell>
          <cell r="G42">
            <v>1433.4</v>
          </cell>
          <cell r="H42">
            <v>24.294915254237289</v>
          </cell>
        </row>
        <row r="43">
          <cell r="A43" t="str">
            <v xml:space="preserve">     LABOR</v>
          </cell>
          <cell r="D43" t="str">
            <v xml:space="preserve">    HR.</v>
          </cell>
          <cell r="E43">
            <v>300</v>
          </cell>
          <cell r="F43">
            <v>12.5</v>
          </cell>
          <cell r="G43">
            <v>3750</v>
          </cell>
          <cell r="H43">
            <v>63.559322033898304</v>
          </cell>
        </row>
        <row r="44">
          <cell r="A44" t="str">
            <v xml:space="preserve">     LAND RENTAL</v>
          </cell>
          <cell r="D44" t="str">
            <v xml:space="preserve">    AC.</v>
          </cell>
          <cell r="E44">
            <v>30</v>
          </cell>
          <cell r="F44">
            <v>22</v>
          </cell>
          <cell r="G44">
            <v>660</v>
          </cell>
          <cell r="H44">
            <v>11.186440677966102</v>
          </cell>
        </row>
        <row r="45">
          <cell r="A45" t="str">
            <v xml:space="preserve">     MARKETING EXPENSES</v>
          </cell>
          <cell r="D45" t="str">
            <v xml:space="preserve">    HD.</v>
          </cell>
          <cell r="E45">
            <v>59</v>
          </cell>
          <cell r="F45">
            <v>23.632399999999997</v>
          </cell>
          <cell r="G45">
            <v>1394.3115999999998</v>
          </cell>
          <cell r="H45">
            <v>23.632399999999997</v>
          </cell>
        </row>
        <row r="46">
          <cell r="A46" t="str">
            <v xml:space="preserve">     BEEF PROMOTION FEE</v>
          </cell>
          <cell r="D46" t="str">
            <v xml:space="preserve">    HD.</v>
          </cell>
          <cell r="E46">
            <v>59</v>
          </cell>
          <cell r="F46">
            <v>2</v>
          </cell>
          <cell r="G46">
            <v>118</v>
          </cell>
          <cell r="H46">
            <v>2</v>
          </cell>
        </row>
        <row r="47">
          <cell r="A47" t="str">
            <v xml:space="preserve">     EQUIPMENT (REPAIR)</v>
          </cell>
          <cell r="D47" t="str">
            <v xml:space="preserve">    DOL.</v>
          </cell>
          <cell r="E47"/>
          <cell r="F47"/>
          <cell r="G47">
            <v>244.92214285714286</v>
          </cell>
          <cell r="H47">
            <v>4.1512227602905574</v>
          </cell>
        </row>
        <row r="48">
          <cell r="A48" t="str">
            <v xml:space="preserve">     INTEREST ON OP. CAP.</v>
          </cell>
          <cell r="D48" t="str">
            <v xml:space="preserve">    DOL.</v>
          </cell>
          <cell r="E48">
            <v>29167.857025440313</v>
          </cell>
          <cell r="F48">
            <v>5.5E-2</v>
          </cell>
          <cell r="G48">
            <v>1604.2321363992173</v>
          </cell>
          <cell r="H48">
            <v>27.190375193207075</v>
          </cell>
        </row>
        <row r="49">
          <cell r="E49"/>
          <cell r="F49"/>
        </row>
        <row r="50">
          <cell r="A50" t="str">
            <v xml:space="preserve">     TOTAL VARIABLE COSTS</v>
          </cell>
          <cell r="E50"/>
          <cell r="F50"/>
          <cell r="G50">
            <v>64386.115879256358</v>
          </cell>
          <cell r="H50">
            <v>1091.2900996484129</v>
          </cell>
        </row>
        <row r="51">
          <cell r="E51"/>
          <cell r="F51"/>
          <cell r="G51"/>
        </row>
        <row r="52">
          <cell r="A52" t="str">
            <v>3. INCOME ABOVE VARIABLE COST</v>
          </cell>
          <cell r="E52"/>
          <cell r="F52"/>
          <cell r="G52">
            <v>5329.4641207436289</v>
          </cell>
          <cell r="H52">
            <v>90.329900351586929</v>
          </cell>
        </row>
        <row r="53">
          <cell r="E53"/>
          <cell r="G53"/>
        </row>
        <row r="54">
          <cell r="A54" t="str">
            <v>4. FIXED COST</v>
          </cell>
          <cell r="E54"/>
          <cell r="G54"/>
        </row>
        <row r="55">
          <cell r="A55" t="str">
            <v xml:space="preserve">    GENERAL OVERHEAD</v>
          </cell>
          <cell r="D55" t="str">
            <v xml:space="preserve">    HD.</v>
          </cell>
          <cell r="E55">
            <v>60</v>
          </cell>
          <cell r="F55">
            <v>2.5</v>
          </cell>
          <cell r="G55">
            <v>150</v>
          </cell>
          <cell r="H55">
            <v>2.5423728813559321</v>
          </cell>
        </row>
        <row r="56">
          <cell r="A56" t="str">
            <v xml:space="preserve">    WINTER GRAZING</v>
          </cell>
          <cell r="D56" t="str">
            <v xml:space="preserve">    ACRE</v>
          </cell>
          <cell r="E56">
            <v>30</v>
          </cell>
          <cell r="F56">
            <v>8.31</v>
          </cell>
          <cell r="G56">
            <v>249.3</v>
          </cell>
          <cell r="H56">
            <v>4.2254237288135599</v>
          </cell>
        </row>
        <row r="57">
          <cell r="A57" t="str">
            <v xml:space="preserve">    INT. ON BLDG. AND EQUIP.</v>
          </cell>
          <cell r="D57" t="str">
            <v xml:space="preserve">    DOL.</v>
          </cell>
          <cell r="E57">
            <v>6838.1</v>
          </cell>
          <cell r="F57">
            <v>6.5000000000000002E-2</v>
          </cell>
          <cell r="G57">
            <v>444.47650000000004</v>
          </cell>
          <cell r="H57">
            <v>7.533500000000001</v>
          </cell>
        </row>
        <row r="58">
          <cell r="A58" t="str">
            <v xml:space="preserve">    DEPR. ON BLDG. AND EQUIP.</v>
          </cell>
          <cell r="D58" t="str">
            <v xml:space="preserve">    DOL.</v>
          </cell>
          <cell r="E58"/>
          <cell r="F58"/>
          <cell r="G58">
            <v>1083.4085714285716</v>
          </cell>
          <cell r="H58">
            <v>18.362857142857145</v>
          </cell>
        </row>
        <row r="59">
          <cell r="A59" t="str">
            <v xml:space="preserve">    OTHER F.C. ON BLDG. &amp; EQUIP.</v>
          </cell>
          <cell r="D59" t="str">
            <v xml:space="preserve">    DOL.</v>
          </cell>
          <cell r="E59"/>
          <cell r="F59"/>
          <cell r="G59">
            <v>93.508124999999993</v>
          </cell>
          <cell r="H59">
            <v>1.584883474576271</v>
          </cell>
        </row>
        <row r="60">
          <cell r="E60"/>
          <cell r="F60"/>
        </row>
        <row r="61">
          <cell r="A61" t="str">
            <v xml:space="preserve">    TOTAL FIXED COSTS</v>
          </cell>
          <cell r="E61"/>
          <cell r="F61"/>
          <cell r="G61">
            <v>2020.6931964285716</v>
          </cell>
          <cell r="H61">
            <v>34.249037227602905</v>
          </cell>
        </row>
        <row r="62">
          <cell r="E62"/>
          <cell r="F62"/>
          <cell r="G62"/>
        </row>
        <row r="63">
          <cell r="A63" t="str">
            <v>5. TOTAL COST OF ALL SPECIFIED EXPENSES</v>
          </cell>
          <cell r="F63"/>
          <cell r="G63">
            <v>66406.809075684927</v>
          </cell>
          <cell r="H63">
            <v>1125.5391368760156</v>
          </cell>
        </row>
        <row r="64">
          <cell r="E64"/>
          <cell r="F64"/>
          <cell r="G64"/>
        </row>
        <row r="65">
          <cell r="A65" t="str">
            <v>6. NET RETURN ABOVE TOTAL COSTS</v>
          </cell>
          <cell r="G65">
            <v>3308.7709243150603</v>
          </cell>
          <cell r="H65">
            <v>56.080863123984074</v>
          </cell>
        </row>
        <row r="67">
          <cell r="A67" t="str">
            <v>VALUE OF FEEDER CATTLE PER HEAD ($/HD SOLD)</v>
          </cell>
          <cell r="G67">
            <v>1181.6199999999999</v>
          </cell>
        </row>
        <row r="69">
          <cell r="A69" t="str">
            <v>COST OF PURCHASED STOCKER CALVES PER HEAD ($/HD SOLD)</v>
          </cell>
          <cell r="G69">
            <v>683.38983050847457</v>
          </cell>
        </row>
        <row r="71">
          <cell r="A71">
            <v>4.9522033898305073</v>
          </cell>
          <cell r="B71" t="str">
            <v>CWT. OF GAIN/HD SOLD;</v>
          </cell>
          <cell r="D71" t="str">
            <v>GROSS MARGIN ($/HD SOLD)</v>
          </cell>
          <cell r="G71">
            <v>498.23016949152532</v>
          </cell>
        </row>
        <row r="73">
          <cell r="A73" t="str">
            <v>TOTAL PRODUCTION COST PER HEAD ($/HD SOLD)</v>
          </cell>
          <cell r="G73">
            <v>442.14930636754116</v>
          </cell>
        </row>
        <row r="75">
          <cell r="A75" t="str">
            <v>VALUE OF GAIN PER CWT. ($/CWT)</v>
          </cell>
          <cell r="G75">
            <v>100.60777602847557</v>
          </cell>
        </row>
        <row r="77">
          <cell r="A77" t="str">
            <v>COST OF GAIN PER CWT.:        TO COVER VARIABLE COSTS ($/CWT)</v>
          </cell>
          <cell r="G77">
            <v>82.367430622412087</v>
          </cell>
        </row>
        <row r="79">
          <cell r="A79" t="str">
            <v xml:space="preserve">                              TO COVER TOTAL COSTS</v>
          </cell>
          <cell r="G79">
            <v>89.283349564258103</v>
          </cell>
        </row>
        <row r="81">
          <cell r="A81" t="str">
            <v>NET RETURNS PER HEAD SOLD:    ABOVE VARIABLE COSTS ($/HD)</v>
          </cell>
          <cell r="G81">
            <v>90.329900351586929</v>
          </cell>
        </row>
        <row r="82">
          <cell r="E82"/>
          <cell r="F82"/>
          <cell r="G82"/>
        </row>
        <row r="83">
          <cell r="A83" t="str">
            <v xml:space="preserve">                              ABOVE TOTAL COSTS ($/HD)</v>
          </cell>
          <cell r="G83">
            <v>56.080863123984074</v>
          </cell>
        </row>
        <row r="85">
          <cell r="A85" t="str">
            <v>BREAKEVEN FEEDER PRICE:       TO COVER VARIABLE COSTS ($/CWT)</v>
          </cell>
          <cell r="G85">
            <v>120.98559863064445</v>
          </cell>
        </row>
        <row r="86">
          <cell r="E86"/>
          <cell r="F86"/>
          <cell r="G86"/>
        </row>
        <row r="87">
          <cell r="A87" t="str">
            <v xml:space="preserve">                              TO COVER TOTAL COSTS ($/CWT)</v>
          </cell>
          <cell r="G87">
            <v>124.78260940975785</v>
          </cell>
        </row>
        <row r="89">
          <cell r="A89" t="str">
            <v>MAXIMUM STOCKER PURCH. PRICE: TO COVER VARIABLE COSTS ($/CWT)</v>
          </cell>
          <cell r="G89">
            <v>189.79061556967991</v>
          </cell>
        </row>
        <row r="91">
          <cell r="A91" t="str">
            <v xml:space="preserve">                              TO COVER TOTAL COSTS ($/CWT)</v>
          </cell>
          <cell r="G91">
            <v>181.37106058456087</v>
          </cell>
        </row>
        <row r="93">
          <cell r="A93" t="str">
            <v>THESE ESTIMATES SHOULD BE USED AS GUIDES FOR PLANNING PURPOSES ONLY.</v>
          </cell>
        </row>
        <row r="99">
          <cell r="C99" t="str">
            <v>FACILITIES AND EQUIPMENT</v>
          </cell>
        </row>
        <row r="101">
          <cell r="C101" t="str">
            <v>ESTIMATED</v>
          </cell>
          <cell r="E101" t="str">
            <v>PROPORTION</v>
          </cell>
          <cell r="F101" t="str">
            <v>TOTAL</v>
          </cell>
          <cell r="G101" t="str">
            <v xml:space="preserve"> SALVAGE</v>
          </cell>
          <cell r="H101" t="str">
            <v>YEARS</v>
          </cell>
          <cell r="J101" t="str">
            <v xml:space="preserve"> SALVAGE</v>
          </cell>
          <cell r="K101" t="str">
            <v xml:space="preserve"> DEPRECIA-</v>
          </cell>
          <cell r="L101" t="str">
            <v xml:space="preserve"> REPAIRS</v>
          </cell>
        </row>
        <row r="102">
          <cell r="A102" t="str">
            <v>ITEM</v>
          </cell>
          <cell r="C102" t="str">
            <v>COST</v>
          </cell>
          <cell r="D102" t="str">
            <v>NUMBER</v>
          </cell>
          <cell r="E102" t="str">
            <v>CHARGED</v>
          </cell>
          <cell r="F102" t="str">
            <v xml:space="preserve"> CHARGED</v>
          </cell>
          <cell r="G102" t="str">
            <v xml:space="preserve"> VALUE(%)</v>
          </cell>
          <cell r="H102" t="str">
            <v xml:space="preserve"> OF LIFE</v>
          </cell>
          <cell r="J102" t="str">
            <v xml:space="preserve">  VALUE</v>
          </cell>
          <cell r="K102" t="str">
            <v xml:space="preserve">   TION</v>
          </cell>
        </row>
        <row r="103">
          <cell r="D103"/>
          <cell r="F103"/>
        </row>
        <row r="105">
          <cell r="A105" t="str">
            <v>FENCING</v>
          </cell>
          <cell r="C105">
            <v>2050</v>
          </cell>
          <cell r="D105">
            <v>1</v>
          </cell>
          <cell r="E105">
            <v>0.67</v>
          </cell>
          <cell r="F105">
            <v>1373.5</v>
          </cell>
          <cell r="G105">
            <v>0</v>
          </cell>
          <cell r="H105">
            <v>15</v>
          </cell>
          <cell r="J105">
            <v>0</v>
          </cell>
          <cell r="K105">
            <v>91.566666666666663</v>
          </cell>
          <cell r="L105">
            <v>18.313333333333333</v>
          </cell>
        </row>
        <row r="106">
          <cell r="A106" t="str">
            <v>CORRAL</v>
          </cell>
          <cell r="C106">
            <v>3500</v>
          </cell>
          <cell r="D106">
            <v>1</v>
          </cell>
          <cell r="E106">
            <v>0.67</v>
          </cell>
          <cell r="F106">
            <v>2345</v>
          </cell>
          <cell r="G106">
            <v>0</v>
          </cell>
          <cell r="H106">
            <v>15</v>
          </cell>
          <cell r="J106">
            <v>0</v>
          </cell>
          <cell r="K106">
            <v>156.33333333333334</v>
          </cell>
          <cell r="L106">
            <v>31.266666666666666</v>
          </cell>
        </row>
        <row r="107">
          <cell r="A107" t="str">
            <v>FEED BUNK</v>
          </cell>
          <cell r="C107">
            <v>450</v>
          </cell>
          <cell r="D107">
            <v>2</v>
          </cell>
          <cell r="E107">
            <v>0.67</v>
          </cell>
          <cell r="F107">
            <v>603</v>
          </cell>
          <cell r="G107">
            <v>0</v>
          </cell>
          <cell r="H107">
            <v>10</v>
          </cell>
          <cell r="J107">
            <v>0</v>
          </cell>
          <cell r="K107">
            <v>60.3</v>
          </cell>
          <cell r="L107">
            <v>12.06</v>
          </cell>
        </row>
        <row r="108">
          <cell r="A108" t="str">
            <v>WATER TANK, ETC.</v>
          </cell>
          <cell r="C108">
            <v>750</v>
          </cell>
          <cell r="D108">
            <v>1</v>
          </cell>
          <cell r="E108">
            <v>0.67</v>
          </cell>
          <cell r="F108">
            <v>502.50000000000006</v>
          </cell>
          <cell r="G108">
            <v>0</v>
          </cell>
          <cell r="H108">
            <v>10</v>
          </cell>
          <cell r="J108">
            <v>0</v>
          </cell>
          <cell r="K108">
            <v>50.250000000000007</v>
          </cell>
          <cell r="L108">
            <v>10.050000000000001</v>
          </cell>
        </row>
        <row r="109">
          <cell r="A109" t="str">
            <v>MINERAL FEEDER</v>
          </cell>
          <cell r="C109">
            <v>275</v>
          </cell>
          <cell r="D109">
            <v>1</v>
          </cell>
          <cell r="E109">
            <v>0.67</v>
          </cell>
          <cell r="F109">
            <v>184.25</v>
          </cell>
          <cell r="G109">
            <v>0</v>
          </cell>
          <cell r="H109">
            <v>10</v>
          </cell>
          <cell r="J109">
            <v>0</v>
          </cell>
          <cell r="K109">
            <v>18.425000000000001</v>
          </cell>
          <cell r="L109">
            <v>3.6850000000000001</v>
          </cell>
        </row>
        <row r="110">
          <cell r="A110" t="str">
            <v>P.T.O. GRINDER &amp; MIXER</v>
          </cell>
          <cell r="C110">
            <v>5350</v>
          </cell>
          <cell r="D110">
            <v>1</v>
          </cell>
          <cell r="E110">
            <v>0.67</v>
          </cell>
          <cell r="F110">
            <v>3584.5</v>
          </cell>
          <cell r="G110">
            <v>10</v>
          </cell>
          <cell r="H110">
            <v>10</v>
          </cell>
          <cell r="J110">
            <v>358.45</v>
          </cell>
          <cell r="K110">
            <v>322.60500000000002</v>
          </cell>
          <cell r="L110">
            <v>71.690000000000012</v>
          </cell>
        </row>
        <row r="111">
          <cell r="A111" t="str">
            <v>TRACTOR</v>
          </cell>
          <cell r="C111">
            <v>15000</v>
          </cell>
          <cell r="D111">
            <v>1</v>
          </cell>
          <cell r="E111">
            <v>0.1</v>
          </cell>
          <cell r="F111">
            <v>1500</v>
          </cell>
          <cell r="G111">
            <v>25</v>
          </cell>
          <cell r="H111">
            <v>10</v>
          </cell>
          <cell r="J111">
            <v>375</v>
          </cell>
          <cell r="K111">
            <v>112.5</v>
          </cell>
          <cell r="L111">
            <v>30</v>
          </cell>
        </row>
        <row r="112">
          <cell r="A112" t="str">
            <v>PICKUP</v>
          </cell>
          <cell r="C112">
            <v>23750</v>
          </cell>
          <cell r="D112">
            <v>1</v>
          </cell>
          <cell r="E112">
            <v>0.1</v>
          </cell>
          <cell r="F112">
            <v>2375</v>
          </cell>
          <cell r="G112">
            <v>20</v>
          </cell>
          <cell r="H112">
            <v>7</v>
          </cell>
          <cell r="J112">
            <v>475</v>
          </cell>
          <cell r="K112">
            <v>271.42857142857144</v>
          </cell>
          <cell r="L112">
            <v>67.857142857142861</v>
          </cell>
        </row>
        <row r="114">
          <cell r="A114" t="str">
            <v>TOTAL</v>
          </cell>
          <cell r="F114">
            <v>12467.75</v>
          </cell>
          <cell r="J114">
            <v>1208.45</v>
          </cell>
          <cell r="K114">
            <v>1083.4085714285716</v>
          </cell>
          <cell r="L114">
            <v>244.92214285714286</v>
          </cell>
        </row>
        <row r="118">
          <cell r="C118" t="str">
            <v>SENSITIVITY OF NET RETURN PER HEAD ABOVE TOTAL COSTS</v>
          </cell>
        </row>
        <row r="119">
          <cell r="C119" t="str">
            <v>AT VARIOUS WEIGHT GAINS AND PURCHASE/SELLING PRICES(1)</v>
          </cell>
        </row>
        <row r="122">
          <cell r="B122" t="str">
            <v>Price Paid For</v>
          </cell>
          <cell r="C122" t="str">
            <v>Total</v>
          </cell>
          <cell r="F122" t="str">
            <v>Price Received</v>
          </cell>
        </row>
        <row r="123">
          <cell r="A123">
            <v>400</v>
          </cell>
          <cell r="B123" t="str">
            <v xml:space="preserve"> # Stocker Calves</v>
          </cell>
          <cell r="C123" t="str">
            <v xml:space="preserve">Weight Gain </v>
          </cell>
          <cell r="F123" t="str">
            <v xml:space="preserve">For Feeder Cattle </v>
          </cell>
        </row>
        <row r="124">
          <cell r="B124" t="str">
            <v>Steers, ($/Cwt.)</v>
          </cell>
          <cell r="C124" t="str">
            <v>Per Head</v>
          </cell>
          <cell r="F124" t="str">
            <v>Steers, ($/Cwt.)</v>
          </cell>
        </row>
        <row r="125">
          <cell r="C125" t="str">
            <v>(Lbs.)</v>
          </cell>
        </row>
        <row r="127">
          <cell r="D127">
            <v>121</v>
          </cell>
          <cell r="E127">
            <v>126</v>
          </cell>
          <cell r="F127">
            <v>131</v>
          </cell>
          <cell r="G127">
            <v>136</v>
          </cell>
          <cell r="H127">
            <v>141</v>
          </cell>
        </row>
        <row r="129">
          <cell r="D129" t="str">
            <v xml:space="preserve">             ------- dollars / head --------</v>
          </cell>
        </row>
        <row r="131">
          <cell r="C131">
            <v>452</v>
          </cell>
          <cell r="D131">
            <v>-35.066954382400795</v>
          </cell>
          <cell r="E131">
            <v>7.5330456175993383</v>
          </cell>
          <cell r="F131">
            <v>50.133045617599251</v>
          </cell>
          <cell r="G131">
            <v>92.733045617599387</v>
          </cell>
          <cell r="H131">
            <v>135.33304561759928</v>
          </cell>
        </row>
        <row r="133">
          <cell r="B133">
            <v>158</v>
          </cell>
          <cell r="C133">
            <v>502</v>
          </cell>
          <cell r="D133">
            <v>25.433045617599202</v>
          </cell>
          <cell r="E133">
            <v>70.533045617599342</v>
          </cell>
          <cell r="F133">
            <v>115.63304561759925</v>
          </cell>
          <cell r="G133">
            <v>160.73304561759937</v>
          </cell>
          <cell r="H133">
            <v>205.83304561759928</v>
          </cell>
        </row>
        <row r="135">
          <cell r="C135">
            <v>552</v>
          </cell>
          <cell r="D135">
            <v>85.933045617599205</v>
          </cell>
          <cell r="E135">
            <v>133.53304561759933</v>
          </cell>
          <cell r="F135">
            <v>181.13304561759924</v>
          </cell>
          <cell r="G135">
            <v>228.73304561759937</v>
          </cell>
          <cell r="H135">
            <v>276.33304561759928</v>
          </cell>
        </row>
        <row r="138">
          <cell r="C138">
            <v>452</v>
          </cell>
          <cell r="D138">
            <v>-56.018893086835426</v>
          </cell>
          <cell r="E138">
            <v>-13.41889308683529</v>
          </cell>
          <cell r="F138">
            <v>29.181106913164619</v>
          </cell>
          <cell r="G138">
            <v>71.781106913164763</v>
          </cell>
          <cell r="H138">
            <v>114.38110691316467</v>
          </cell>
        </row>
        <row r="140">
          <cell r="B140">
            <v>163</v>
          </cell>
          <cell r="C140">
            <v>502</v>
          </cell>
          <cell r="D140">
            <v>4.4811069131645738</v>
          </cell>
          <cell r="E140">
            <v>49.58110691316471</v>
          </cell>
          <cell r="F140">
            <v>94.681106913164626</v>
          </cell>
          <cell r="G140">
            <v>139.78110691316476</v>
          </cell>
          <cell r="H140">
            <v>184.88110691316467</v>
          </cell>
        </row>
        <row r="142">
          <cell r="C142">
            <v>552</v>
          </cell>
          <cell r="D142">
            <v>64.981106913164581</v>
          </cell>
          <cell r="E142">
            <v>112.58110691316472</v>
          </cell>
          <cell r="F142">
            <v>160.18110691316463</v>
          </cell>
          <cell r="G142">
            <v>207.78110691316476</v>
          </cell>
          <cell r="H142">
            <v>255.38110691316467</v>
          </cell>
        </row>
        <row r="145">
          <cell r="C145">
            <v>452</v>
          </cell>
          <cell r="D145">
            <v>-76.970831791270058</v>
          </cell>
          <cell r="E145">
            <v>-34.370831791269921</v>
          </cell>
          <cell r="F145">
            <v>8.2291682087299876</v>
          </cell>
          <cell r="G145">
            <v>50.829168208730124</v>
          </cell>
          <cell r="H145">
            <v>93.429168208730033</v>
          </cell>
        </row>
        <row r="147">
          <cell r="B147">
            <v>168</v>
          </cell>
          <cell r="C147">
            <v>502</v>
          </cell>
          <cell r="D147">
            <v>-16.470831791270058</v>
          </cell>
          <cell r="E147">
            <v>28.629168208730079</v>
          </cell>
          <cell r="F147">
            <v>73.729168208729988</v>
          </cell>
          <cell r="G147">
            <v>118.82916820873012</v>
          </cell>
          <cell r="H147">
            <v>163.92916820873003</v>
          </cell>
        </row>
        <row r="149">
          <cell r="C149">
            <v>552</v>
          </cell>
          <cell r="D149">
            <v>44.029168208729942</v>
          </cell>
          <cell r="E149">
            <v>91.629168208730079</v>
          </cell>
          <cell r="F149">
            <v>139.22916820872999</v>
          </cell>
          <cell r="G149">
            <v>186.82916820873012</v>
          </cell>
          <cell r="H149">
            <v>234.42916820873003</v>
          </cell>
        </row>
        <row r="152">
          <cell r="C152">
            <v>452</v>
          </cell>
          <cell r="D152">
            <v>-97.922770495704683</v>
          </cell>
          <cell r="E152">
            <v>-55.322770495704546</v>
          </cell>
          <cell r="F152">
            <v>-12.722770495704637</v>
          </cell>
          <cell r="G152">
            <v>29.877229504295499</v>
          </cell>
          <cell r="H152">
            <v>72.477229504295408</v>
          </cell>
        </row>
        <row r="154">
          <cell r="B154">
            <v>173</v>
          </cell>
          <cell r="C154">
            <v>502</v>
          </cell>
          <cell r="D154">
            <v>-37.422770495704683</v>
          </cell>
          <cell r="E154">
            <v>7.6772295042954539</v>
          </cell>
          <cell r="F154">
            <v>52.777229504295363</v>
          </cell>
          <cell r="G154">
            <v>97.877229504295499</v>
          </cell>
          <cell r="H154">
            <v>142.97722950429539</v>
          </cell>
        </row>
        <row r="156">
          <cell r="C156">
            <v>552</v>
          </cell>
          <cell r="D156">
            <v>23.077229504295317</v>
          </cell>
          <cell r="E156">
            <v>70.677229504295454</v>
          </cell>
          <cell r="F156">
            <v>118.27722950429536</v>
          </cell>
          <cell r="G156">
            <v>165.87722950429549</v>
          </cell>
          <cell r="H156">
            <v>213.47722950429539</v>
          </cell>
        </row>
        <row r="159">
          <cell r="C159">
            <v>452</v>
          </cell>
          <cell r="D159">
            <v>-118.87470920013953</v>
          </cell>
          <cell r="E159">
            <v>-76.274709200139398</v>
          </cell>
          <cell r="F159">
            <v>-33.674709200139496</v>
          </cell>
          <cell r="G159">
            <v>8.9252907998606403</v>
          </cell>
          <cell r="H159">
            <v>51.525290799860549</v>
          </cell>
        </row>
        <row r="161">
          <cell r="B161">
            <v>178</v>
          </cell>
          <cell r="C161">
            <v>502</v>
          </cell>
          <cell r="D161">
            <v>-58.374709200139542</v>
          </cell>
          <cell r="E161">
            <v>-13.274709200139405</v>
          </cell>
          <cell r="F161">
            <v>31.825290799860504</v>
          </cell>
          <cell r="G161">
            <v>76.925290799860647</v>
          </cell>
          <cell r="H161">
            <v>122.02529079986056</v>
          </cell>
        </row>
        <row r="163">
          <cell r="C163">
            <v>552</v>
          </cell>
          <cell r="D163">
            <v>2.1252907998604584</v>
          </cell>
          <cell r="E163">
            <v>49.725290799860595</v>
          </cell>
          <cell r="F163">
            <v>97.325290799860511</v>
          </cell>
          <cell r="G163">
            <v>144.92529079986065</v>
          </cell>
          <cell r="H163">
            <v>192.52529079986056</v>
          </cell>
        </row>
        <row r="165">
          <cell r="D165" t="str">
            <v xml:space="preserve">  (1) PRODUCTION COSTS ARE HELD CONSTANT.</v>
          </cell>
        </row>
        <row r="168">
          <cell r="B168" t="str">
            <v>REFERENCES: KEN KELLEY, REGIONAL EXTENSION AGENT</v>
          </cell>
        </row>
        <row r="169">
          <cell r="B169" t="str">
            <v xml:space="preserve">                             KIM MULLENIX, EXTENSION ANIMAL SCIENTIST</v>
          </cell>
        </row>
        <row r="170">
          <cell r="B170" t="str">
            <v xml:space="preserve">                             SOREN RODNING, EXTENSION VETERINARIAN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Est02"/>
      <sheetName val="FesGrz02"/>
      <sheetName val="StkPilFes02"/>
      <sheetName val="FesHay02"/>
      <sheetName val="OverSdPP02"/>
      <sheetName val="WAPG02"/>
      <sheetName val="WHET02"/>
      <sheetName val="WHTSIL02"/>
      <sheetName val="Data Request"/>
      <sheetName val="Sheet2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sEstab09"/>
      <sheetName val="FesGrz09"/>
      <sheetName val="StkPilFes09"/>
      <sheetName val="FesHay09"/>
      <sheetName val="OverSdPP09"/>
      <sheetName val="WAPG09"/>
      <sheetName val="WHET09"/>
      <sheetName val="ForageMach09  PRT"/>
      <sheetName val="Sheet4"/>
      <sheetName val="Data Request 2009"/>
      <sheetName val="Data Request 2008"/>
      <sheetName val="WHTSIL07"/>
      <sheetName val="Data Request 2007"/>
      <sheetName val="Data Request 2006"/>
      <sheetName val="Data Request 2005"/>
      <sheetName val="Data Request 2004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pageSetUpPr fitToPage="1"/>
  </sheetPr>
  <dimension ref="A1:T627"/>
  <sheetViews>
    <sheetView showGridLines="0" tabSelected="1" zoomScale="75" zoomScaleNormal="75" workbookViewId="0">
      <selection activeCell="H21" sqref="H21"/>
    </sheetView>
  </sheetViews>
  <sheetFormatPr baseColWidth="10" defaultColWidth="11.6640625" defaultRowHeight="13" x14ac:dyDescent="0.15"/>
  <cols>
    <col min="1" max="1" width="16" style="1" customWidth="1"/>
    <col min="2" max="2" width="24.33203125" style="1" customWidth="1"/>
    <col min="3" max="3" width="12.5" style="1" customWidth="1"/>
    <col min="4" max="4" width="13.33203125" style="1" customWidth="1"/>
    <col min="5" max="5" width="14.6640625" style="1" customWidth="1"/>
    <col min="6" max="6" width="20.6640625" style="1" customWidth="1"/>
    <col min="7" max="7" width="16.5" style="1" customWidth="1"/>
    <col min="8" max="8" width="21.33203125" style="1" customWidth="1"/>
    <col min="9" max="9" width="18.33203125" style="1" customWidth="1"/>
    <col min="10" max="10" width="12.5" style="1" customWidth="1"/>
    <col min="11" max="11" width="8.6640625" style="1" customWidth="1"/>
    <col min="12" max="12" width="6.5" style="1" customWidth="1"/>
    <col min="13" max="13" width="9.6640625" style="1" customWidth="1"/>
    <col min="14" max="14" width="8.6640625" style="1" customWidth="1"/>
    <col min="15" max="15" width="7.5" style="1" customWidth="1"/>
    <col min="16" max="20" width="9.83203125" style="1" customWidth="1"/>
    <col min="21" max="21" width="12.1640625" style="1" customWidth="1"/>
    <col min="22" max="22" width="8.6640625" style="1" customWidth="1"/>
    <col min="23" max="26" width="11.6640625" style="1" customWidth="1"/>
    <col min="27" max="27" width="12.1640625" style="1" customWidth="1"/>
    <col min="28" max="16384" width="11.6640625" style="1"/>
  </cols>
  <sheetData>
    <row r="1" spans="1:20" x14ac:dyDescent="0.15">
      <c r="A1" s="95"/>
      <c r="B1" s="100"/>
      <c r="L1" s="38"/>
      <c r="M1" s="38"/>
    </row>
    <row r="2" spans="1:20" x14ac:dyDescent="0.15">
      <c r="A2" s="95"/>
    </row>
    <row r="3" spans="1:20" x14ac:dyDescent="0.15">
      <c r="A3" s="95"/>
      <c r="B3" s="100"/>
      <c r="L3" s="38"/>
      <c r="M3" s="38"/>
    </row>
    <row r="4" spans="1:20" ht="16" x14ac:dyDescent="0.2">
      <c r="A4" s="95"/>
      <c r="B4" s="94"/>
      <c r="C4" s="2"/>
      <c r="D4" s="2"/>
      <c r="E4" s="2"/>
      <c r="F4" s="2"/>
      <c r="L4" s="38" t="s">
        <v>125</v>
      </c>
      <c r="M4" s="38"/>
    </row>
    <row r="5" spans="1:20" ht="16" x14ac:dyDescent="0.2">
      <c r="A5" s="95"/>
      <c r="B5" s="94"/>
      <c r="C5" s="2"/>
      <c r="D5" s="2"/>
      <c r="E5" s="2"/>
      <c r="F5" s="2"/>
      <c r="L5" s="38" t="s">
        <v>124</v>
      </c>
      <c r="M5" s="38"/>
    </row>
    <row r="6" spans="1:20" ht="16" x14ac:dyDescent="0.2">
      <c r="A6" s="95"/>
      <c r="B6" s="94"/>
      <c r="C6" s="2"/>
      <c r="D6" s="2"/>
      <c r="E6" s="2"/>
      <c r="F6" s="2"/>
      <c r="M6" s="38"/>
    </row>
    <row r="7" spans="1:20" ht="16" x14ac:dyDescent="0.2">
      <c r="A7" s="95"/>
      <c r="B7" s="94"/>
      <c r="C7" s="2"/>
      <c r="D7" s="2"/>
      <c r="E7" s="2"/>
      <c r="F7" s="2"/>
    </row>
    <row r="8" spans="1:20" ht="16" x14ac:dyDescent="0.2">
      <c r="A8" s="95"/>
      <c r="B8" s="94"/>
      <c r="C8" s="2"/>
      <c r="D8" s="2"/>
      <c r="E8" s="2"/>
      <c r="F8" s="2"/>
      <c r="M8" s="38"/>
    </row>
    <row r="9" spans="1:20" ht="16" x14ac:dyDescent="0.2">
      <c r="A9" s="95"/>
      <c r="B9" s="94"/>
      <c r="C9" s="2"/>
      <c r="D9" s="2"/>
      <c r="E9" s="2"/>
      <c r="F9" s="2"/>
    </row>
    <row r="10" spans="1:20" ht="16" x14ac:dyDescent="0.2">
      <c r="A10" s="95"/>
      <c r="B10" s="94"/>
      <c r="C10" s="2"/>
      <c r="D10" s="2"/>
      <c r="E10" s="2"/>
      <c r="F10" s="2"/>
      <c r="K10" s="99">
        <f>E32*C32</f>
        <v>439.43199999999996</v>
      </c>
      <c r="L10" s="1" t="s">
        <v>123</v>
      </c>
      <c r="M10" s="98" t="s">
        <v>122</v>
      </c>
    </row>
    <row r="11" spans="1:20" ht="16" x14ac:dyDescent="0.2">
      <c r="A11" s="95"/>
      <c r="B11" s="94"/>
      <c r="C11" s="2"/>
      <c r="D11" s="2"/>
      <c r="E11" s="2"/>
      <c r="F11" s="94"/>
    </row>
    <row r="12" spans="1:20" ht="16" x14ac:dyDescent="0.2">
      <c r="A12" s="95"/>
      <c r="C12" s="2"/>
      <c r="D12" s="2"/>
      <c r="E12" s="2"/>
      <c r="F12" s="2"/>
      <c r="L12" s="96"/>
      <c r="M12" s="38"/>
    </row>
    <row r="13" spans="1:20" ht="16" x14ac:dyDescent="0.2">
      <c r="A13" s="95"/>
      <c r="B13" s="94"/>
      <c r="C13" s="2"/>
      <c r="D13" s="2"/>
      <c r="E13" s="2"/>
      <c r="F13" s="2"/>
      <c r="L13" s="96"/>
      <c r="M13" s="38"/>
    </row>
    <row r="14" spans="1:20" ht="33" x14ac:dyDescent="0.35">
      <c r="A14" s="97" t="s">
        <v>158</v>
      </c>
      <c r="C14" s="2"/>
      <c r="D14" s="2"/>
      <c r="E14" s="2"/>
      <c r="F14" s="2"/>
      <c r="M14" s="38"/>
    </row>
    <row r="15" spans="1:20" ht="16" x14ac:dyDescent="0.2">
      <c r="A15" s="95"/>
      <c r="B15" s="94"/>
      <c r="C15" s="2"/>
      <c r="D15" s="2"/>
      <c r="E15" s="2"/>
      <c r="F15" s="2"/>
      <c r="K15" s="1" t="s">
        <v>121</v>
      </c>
      <c r="M15" s="1" t="s">
        <v>120</v>
      </c>
      <c r="N15" s="1" t="s">
        <v>119</v>
      </c>
      <c r="O15" s="1" t="s">
        <v>118</v>
      </c>
      <c r="P15" s="1" t="s">
        <v>117</v>
      </c>
      <c r="Q15" s="1" t="s">
        <v>116</v>
      </c>
      <c r="R15" s="1" t="s">
        <v>115</v>
      </c>
      <c r="S15" s="1" t="s">
        <v>114</v>
      </c>
      <c r="T15" s="1" t="s">
        <v>113</v>
      </c>
    </row>
    <row r="16" spans="1:20" x14ac:dyDescent="0.15">
      <c r="A16" s="95"/>
      <c r="B16" s="38"/>
      <c r="M16" s="1" t="s">
        <v>112</v>
      </c>
      <c r="N16" s="1" t="s">
        <v>109</v>
      </c>
      <c r="O16" s="1" t="s">
        <v>109</v>
      </c>
      <c r="P16" s="1" t="s">
        <v>111</v>
      </c>
      <c r="Q16" s="96" t="s">
        <v>110</v>
      </c>
      <c r="R16" s="1" t="s">
        <v>109</v>
      </c>
      <c r="S16" s="1" t="s">
        <v>109</v>
      </c>
      <c r="T16" s="1" t="s">
        <v>109</v>
      </c>
    </row>
    <row r="17" spans="1:18" ht="16" x14ac:dyDescent="0.2">
      <c r="A17" s="95"/>
      <c r="B17" s="94" t="s">
        <v>108</v>
      </c>
      <c r="M17" s="38"/>
    </row>
    <row r="18" spans="1:18" s="43" customFormat="1" ht="16" x14ac:dyDescent="0.2">
      <c r="A18" s="46">
        <v>60</v>
      </c>
      <c r="B18" s="45" t="s">
        <v>107</v>
      </c>
      <c r="C18" s="44"/>
      <c r="D18" s="44"/>
      <c r="E18" s="44"/>
      <c r="F18" s="44"/>
      <c r="G18" s="44"/>
      <c r="H18" s="44"/>
      <c r="I18" s="44"/>
      <c r="J18" s="114">
        <v>0.02</v>
      </c>
      <c r="K18" s="43" t="s">
        <v>106</v>
      </c>
      <c r="M18" s="93"/>
    </row>
    <row r="19" spans="1:18" ht="16" x14ac:dyDescent="0.2">
      <c r="A19" s="44"/>
      <c r="B19" s="27" t="s">
        <v>105</v>
      </c>
      <c r="C19" s="3"/>
      <c r="D19" s="3"/>
      <c r="E19" s="3"/>
      <c r="F19" s="3"/>
      <c r="G19" s="3"/>
      <c r="H19" s="3"/>
      <c r="I19" s="3"/>
      <c r="M19" s="38"/>
    </row>
    <row r="20" spans="1:18" ht="16" x14ac:dyDescent="0.2">
      <c r="A20" s="92">
        <v>400</v>
      </c>
      <c r="B20" s="27" t="s">
        <v>104</v>
      </c>
      <c r="C20" s="4"/>
      <c r="D20" s="4"/>
      <c r="E20" s="3"/>
      <c r="F20" s="3"/>
      <c r="G20" s="3"/>
      <c r="H20" s="3"/>
      <c r="I20" s="3"/>
      <c r="K20" s="1" t="s">
        <v>103</v>
      </c>
      <c r="M20" s="38"/>
    </row>
    <row r="21" spans="1:18" ht="16" x14ac:dyDescent="0.2">
      <c r="A21" s="91">
        <v>1.8</v>
      </c>
      <c r="B21" s="27" t="s">
        <v>102</v>
      </c>
      <c r="C21" s="87">
        <v>200</v>
      </c>
      <c r="D21" s="27" t="s">
        <v>101</v>
      </c>
      <c r="E21" s="3"/>
      <c r="F21" s="3"/>
      <c r="G21" s="86" t="s">
        <v>95</v>
      </c>
      <c r="H21" s="5" t="s">
        <v>100</v>
      </c>
      <c r="I21" s="90"/>
      <c r="M21" s="38"/>
    </row>
    <row r="22" spans="1:18" ht="16" x14ac:dyDescent="0.2">
      <c r="A22" s="102">
        <v>675</v>
      </c>
      <c r="B22" s="27" t="s">
        <v>99</v>
      </c>
      <c r="C22" s="87">
        <v>30</v>
      </c>
      <c r="D22" s="3" t="s">
        <v>98</v>
      </c>
      <c r="E22" s="3"/>
      <c r="F22" s="3"/>
      <c r="G22" s="86"/>
      <c r="H22" s="103">
        <v>257.73</v>
      </c>
      <c r="I22" s="89" t="s">
        <v>90</v>
      </c>
    </row>
    <row r="23" spans="1:18" ht="16" x14ac:dyDescent="0.2">
      <c r="A23" s="88">
        <f>N26</f>
        <v>1.6875</v>
      </c>
      <c r="B23" s="27" t="s">
        <v>97</v>
      </c>
      <c r="C23" s="87">
        <v>60</v>
      </c>
      <c r="D23" s="27" t="s">
        <v>96</v>
      </c>
      <c r="E23" s="3"/>
      <c r="F23" s="3"/>
      <c r="G23" s="86" t="s">
        <v>95</v>
      </c>
      <c r="H23" s="5" t="s">
        <v>94</v>
      </c>
      <c r="I23" s="85"/>
      <c r="K23" s="84" t="s">
        <v>93</v>
      </c>
      <c r="L23" s="83"/>
      <c r="M23" s="83"/>
      <c r="N23" s="83"/>
      <c r="O23" s="83"/>
      <c r="P23" s="83"/>
      <c r="Q23" s="83"/>
      <c r="R23" s="83"/>
    </row>
    <row r="24" spans="1:18" ht="16" x14ac:dyDescent="0.2">
      <c r="A24" s="82">
        <v>1.5</v>
      </c>
      <c r="B24" s="80" t="s">
        <v>92</v>
      </c>
      <c r="C24" s="81">
        <f>(A20+(C21*A21))*(1-J18)</f>
        <v>744.8</v>
      </c>
      <c r="D24" s="80" t="s">
        <v>91</v>
      </c>
      <c r="E24" s="79"/>
      <c r="F24" s="10"/>
      <c r="G24" s="78"/>
      <c r="H24" s="104">
        <v>-13</v>
      </c>
      <c r="I24" s="77" t="s">
        <v>90</v>
      </c>
      <c r="N24" s="1">
        <f>A22</f>
        <v>675</v>
      </c>
    </row>
    <row r="25" spans="1:18" ht="16" x14ac:dyDescent="0.2">
      <c r="A25" s="36"/>
      <c r="B25" s="3"/>
      <c r="C25" s="3"/>
      <c r="D25" s="3"/>
      <c r="E25" s="3"/>
      <c r="F25" s="3"/>
      <c r="G25" s="3"/>
      <c r="H25" s="3"/>
      <c r="I25" s="3"/>
      <c r="J25" s="73"/>
      <c r="N25" s="1">
        <f>A20</f>
        <v>400</v>
      </c>
    </row>
    <row r="26" spans="1:18" ht="16" x14ac:dyDescent="0.2">
      <c r="A26" s="76" t="s">
        <v>144</v>
      </c>
      <c r="B26" s="10"/>
      <c r="C26" s="10"/>
      <c r="D26" s="10"/>
      <c r="E26" s="10"/>
      <c r="F26" s="10"/>
      <c r="G26" s="10"/>
      <c r="H26" s="10"/>
      <c r="I26" s="3"/>
      <c r="J26" s="73" t="s">
        <v>23</v>
      </c>
      <c r="M26" s="73"/>
      <c r="N26" s="1">
        <f>N24/N25</f>
        <v>1.6875</v>
      </c>
    </row>
    <row r="27" spans="1:18" ht="16" x14ac:dyDescent="0.2">
      <c r="A27" s="3"/>
      <c r="B27" s="3"/>
      <c r="C27" s="37" t="s">
        <v>89</v>
      </c>
      <c r="D27" s="27" t="s">
        <v>88</v>
      </c>
      <c r="E27" s="37" t="s">
        <v>87</v>
      </c>
      <c r="F27" s="16" t="s">
        <v>86</v>
      </c>
      <c r="G27" s="16" t="s">
        <v>85</v>
      </c>
      <c r="H27" s="75" t="s">
        <v>84</v>
      </c>
      <c r="I27" s="74" t="s">
        <v>83</v>
      </c>
      <c r="M27" s="73"/>
      <c r="N27" s="72">
        <f>N26</f>
        <v>1.6875</v>
      </c>
    </row>
    <row r="28" spans="1:18" ht="16" x14ac:dyDescent="0.2">
      <c r="A28" s="10"/>
      <c r="B28" s="40" t="s">
        <v>38</v>
      </c>
      <c r="C28" s="39"/>
      <c r="D28" s="10"/>
      <c r="E28" s="10"/>
      <c r="F28" s="40" t="s">
        <v>82</v>
      </c>
      <c r="G28" s="40" t="s">
        <v>81</v>
      </c>
      <c r="H28" s="71" t="s">
        <v>80</v>
      </c>
      <c r="I28" s="71" t="s">
        <v>16</v>
      </c>
    </row>
    <row r="29" spans="1:18" ht="16" x14ac:dyDescent="0.2">
      <c r="A29" s="36"/>
      <c r="B29" s="3"/>
      <c r="C29" s="3"/>
      <c r="D29" s="3"/>
      <c r="E29" s="3"/>
      <c r="F29" s="3"/>
      <c r="G29" s="3"/>
      <c r="H29" s="3"/>
      <c r="I29" s="70" t="s">
        <v>23</v>
      </c>
    </row>
    <row r="30" spans="1:18" ht="16" x14ac:dyDescent="0.2">
      <c r="A30" s="3"/>
      <c r="B30" s="3"/>
      <c r="C30" s="3"/>
      <c r="D30" s="3"/>
      <c r="E30" s="3"/>
      <c r="F30" s="3"/>
      <c r="G30" s="3"/>
      <c r="H30" s="3"/>
      <c r="I30" s="70" t="s">
        <v>23</v>
      </c>
    </row>
    <row r="31" spans="1:18" ht="16" x14ac:dyDescent="0.2">
      <c r="A31" s="22" t="s">
        <v>79</v>
      </c>
      <c r="B31" s="3"/>
      <c r="C31" s="3"/>
      <c r="D31" s="3"/>
      <c r="E31" s="4"/>
      <c r="F31" s="3"/>
      <c r="G31" s="3"/>
      <c r="H31" s="3"/>
      <c r="I31" s="70" t="s">
        <v>23</v>
      </c>
      <c r="L31" s="38"/>
      <c r="M31" s="38"/>
    </row>
    <row r="32" spans="1:18" ht="16" x14ac:dyDescent="0.2">
      <c r="A32" s="27" t="s">
        <v>78</v>
      </c>
      <c r="B32" s="3"/>
      <c r="C32" s="29">
        <f>TRUNC(0.5+(A18*(1-(A24/100))))</f>
        <v>59</v>
      </c>
      <c r="D32" s="27" t="s">
        <v>74</v>
      </c>
      <c r="E32" s="69">
        <f>C24/100</f>
        <v>7.4479999999999995</v>
      </c>
      <c r="F32" s="34">
        <f>H22+H24</f>
        <v>244.73000000000002</v>
      </c>
      <c r="G32" s="29">
        <f>E32*F32*C32</f>
        <v>107542.19335999999</v>
      </c>
      <c r="H32" s="55">
        <f>G32/$C$32</f>
        <v>1822.7490399999999</v>
      </c>
      <c r="I32" s="54">
        <v>1</v>
      </c>
      <c r="M32" s="38"/>
    </row>
    <row r="33" spans="1:13" ht="16" x14ac:dyDescent="0.2">
      <c r="A33" s="3"/>
      <c r="B33" s="3"/>
      <c r="C33" s="3"/>
      <c r="D33" s="27"/>
      <c r="E33" s="49" t="s">
        <v>23</v>
      </c>
      <c r="F33" s="49"/>
      <c r="G33" s="49" t="s">
        <v>23</v>
      </c>
      <c r="H33" s="55"/>
      <c r="I33" s="54"/>
    </row>
    <row r="34" spans="1:13" ht="16" x14ac:dyDescent="0.2">
      <c r="A34" s="22" t="s">
        <v>77</v>
      </c>
      <c r="B34" s="3"/>
      <c r="C34" s="3"/>
      <c r="D34" s="27"/>
      <c r="E34" s="49" t="s">
        <v>23</v>
      </c>
      <c r="F34" s="49" t="s">
        <v>23</v>
      </c>
      <c r="G34" s="49" t="s">
        <v>23</v>
      </c>
      <c r="H34" s="55"/>
      <c r="I34" s="54" t="s">
        <v>23</v>
      </c>
    </row>
    <row r="35" spans="1:13" ht="16" x14ac:dyDescent="0.2">
      <c r="A35" s="27" t="s">
        <v>76</v>
      </c>
      <c r="B35" s="3"/>
      <c r="C35" s="69">
        <f>A18</f>
        <v>60</v>
      </c>
      <c r="D35" s="27" t="s">
        <v>74</v>
      </c>
      <c r="E35" s="29">
        <f>A20/100</f>
        <v>4</v>
      </c>
      <c r="F35" s="34">
        <v>273</v>
      </c>
      <c r="G35" s="29">
        <f>C35*F35*E35</f>
        <v>65520</v>
      </c>
      <c r="H35" s="55">
        <f t="shared" ref="H35:H48" si="0">G35/$C$32</f>
        <v>1110.5084745762713</v>
      </c>
      <c r="I35" s="54">
        <f t="shared" ref="I35:I48" si="1">H35/$H$63</f>
        <v>0.66677437974032516</v>
      </c>
    </row>
    <row r="36" spans="1:13" ht="16" x14ac:dyDescent="0.2">
      <c r="A36" s="27" t="s">
        <v>55</v>
      </c>
      <c r="B36" s="3"/>
      <c r="C36" s="3"/>
      <c r="D36" s="27" t="s">
        <v>54</v>
      </c>
      <c r="E36" s="29">
        <f>TRUNC(0.5+(A18/N27))</f>
        <v>36</v>
      </c>
      <c r="F36" s="34">
        <v>226.26</v>
      </c>
      <c r="G36" s="29">
        <f t="shared" ref="G36:G46" si="2">F36*E36</f>
        <v>8145.36</v>
      </c>
      <c r="H36" s="55">
        <f t="shared" si="0"/>
        <v>138.05694915254236</v>
      </c>
      <c r="I36" s="54">
        <f t="shared" si="1"/>
        <v>8.2892511626398865E-2</v>
      </c>
      <c r="M36" s="38"/>
    </row>
    <row r="37" spans="1:13" ht="16" x14ac:dyDescent="0.2">
      <c r="A37" s="27" t="s">
        <v>75</v>
      </c>
      <c r="B37" s="3"/>
      <c r="C37" s="3"/>
      <c r="D37" s="27" t="s">
        <v>74</v>
      </c>
      <c r="E37" s="29">
        <f>(A18*C21*3/16)/100</f>
        <v>22.5</v>
      </c>
      <c r="F37" s="34">
        <v>50</v>
      </c>
      <c r="G37" s="29">
        <f t="shared" si="2"/>
        <v>1125</v>
      </c>
      <c r="H37" s="55">
        <f t="shared" si="0"/>
        <v>19.067796610169491</v>
      </c>
      <c r="I37" s="54">
        <f t="shared" si="1"/>
        <v>1.1448735915870966E-2</v>
      </c>
    </row>
    <row r="38" spans="1:13" ht="16" x14ac:dyDescent="0.2">
      <c r="A38" s="27" t="s">
        <v>73</v>
      </c>
      <c r="B38" s="3"/>
      <c r="C38" s="3"/>
      <c r="D38" s="27" t="s">
        <v>69</v>
      </c>
      <c r="E38" s="29">
        <f>(C22*A18*6)/2000</f>
        <v>5.4</v>
      </c>
      <c r="F38" s="34">
        <v>150</v>
      </c>
      <c r="G38" s="29">
        <f t="shared" si="2"/>
        <v>810</v>
      </c>
      <c r="H38" s="55">
        <f t="shared" si="0"/>
        <v>13.728813559322035</v>
      </c>
      <c r="I38" s="54">
        <f t="shared" si="1"/>
        <v>8.2430898594270958E-3</v>
      </c>
    </row>
    <row r="39" spans="1:13" ht="16" x14ac:dyDescent="0.2">
      <c r="A39" s="27" t="s">
        <v>72</v>
      </c>
      <c r="B39" s="3"/>
      <c r="C39" s="3"/>
      <c r="D39" s="27" t="s">
        <v>69</v>
      </c>
      <c r="E39" s="29">
        <f>(C23*A18*8)/2000</f>
        <v>14.4</v>
      </c>
      <c r="F39" s="34">
        <v>150</v>
      </c>
      <c r="G39" s="29">
        <f t="shared" si="2"/>
        <v>2160</v>
      </c>
      <c r="H39" s="55">
        <f t="shared" si="0"/>
        <v>36.610169491525426</v>
      </c>
      <c r="I39" s="54">
        <f t="shared" si="1"/>
        <v>2.1981572958472258E-2</v>
      </c>
    </row>
    <row r="40" spans="1:13" ht="16" x14ac:dyDescent="0.2">
      <c r="A40" s="27" t="s">
        <v>71</v>
      </c>
      <c r="B40" s="3"/>
      <c r="C40" s="3"/>
      <c r="D40" s="27" t="s">
        <v>69</v>
      </c>
      <c r="E40" s="29">
        <f>(C22*A18*A20*0.01)/2000</f>
        <v>3.6</v>
      </c>
      <c r="F40" s="34">
        <v>370</v>
      </c>
      <c r="G40" s="29">
        <f t="shared" si="2"/>
        <v>1332</v>
      </c>
      <c r="H40" s="55">
        <f t="shared" si="0"/>
        <v>22.576271186440678</v>
      </c>
      <c r="I40" s="54">
        <f t="shared" si="1"/>
        <v>1.3555303324391225E-2</v>
      </c>
    </row>
    <row r="41" spans="1:13" ht="16" x14ac:dyDescent="0.2">
      <c r="A41" s="27" t="s">
        <v>70</v>
      </c>
      <c r="B41" s="3"/>
      <c r="C41" s="3"/>
      <c r="D41" s="27" t="s">
        <v>69</v>
      </c>
      <c r="E41" s="29">
        <f>(C23*A18*(A20*0.015))/2000</f>
        <v>10.8</v>
      </c>
      <c r="F41" s="34">
        <v>370</v>
      </c>
      <c r="G41" s="29">
        <f t="shared" si="2"/>
        <v>3996.0000000000005</v>
      </c>
      <c r="H41" s="55">
        <f t="shared" si="0"/>
        <v>67.728813559322035</v>
      </c>
      <c r="I41" s="54">
        <f t="shared" si="1"/>
        <v>4.0665909973173674E-2</v>
      </c>
    </row>
    <row r="42" spans="1:13" ht="16" x14ac:dyDescent="0.2">
      <c r="A42" s="27" t="s">
        <v>68</v>
      </c>
      <c r="B42" s="3"/>
      <c r="C42" s="3"/>
      <c r="D42" s="27" t="s">
        <v>56</v>
      </c>
      <c r="E42" s="29">
        <f>A18</f>
        <v>60</v>
      </c>
      <c r="F42" s="34">
        <v>26</v>
      </c>
      <c r="G42" s="29">
        <f t="shared" si="2"/>
        <v>1560</v>
      </c>
      <c r="H42" s="55">
        <f t="shared" si="0"/>
        <v>26.440677966101696</v>
      </c>
      <c r="I42" s="54">
        <f t="shared" si="1"/>
        <v>1.5875580470007741E-2</v>
      </c>
    </row>
    <row r="43" spans="1:13" ht="16" x14ac:dyDescent="0.2">
      <c r="A43" s="27" t="s">
        <v>67</v>
      </c>
      <c r="B43" s="3"/>
      <c r="C43" s="68" t="s">
        <v>23</v>
      </c>
      <c r="D43" s="27" t="s">
        <v>66</v>
      </c>
      <c r="E43" s="105">
        <f>4*A18</f>
        <v>240</v>
      </c>
      <c r="F43" s="34">
        <v>14</v>
      </c>
      <c r="G43" s="29">
        <f t="shared" si="2"/>
        <v>3360</v>
      </c>
      <c r="H43" s="55">
        <f t="shared" si="0"/>
        <v>56.949152542372879</v>
      </c>
      <c r="I43" s="54">
        <f t="shared" si="1"/>
        <v>3.4193557935401284E-2</v>
      </c>
    </row>
    <row r="44" spans="1:13" ht="16" x14ac:dyDescent="0.2">
      <c r="A44" s="27" t="s">
        <v>65</v>
      </c>
      <c r="B44" s="3"/>
      <c r="C44" s="68" t="s">
        <v>23</v>
      </c>
      <c r="D44" s="27" t="s">
        <v>54</v>
      </c>
      <c r="E44" s="105">
        <v>24</v>
      </c>
      <c r="F44" s="34">
        <v>24</v>
      </c>
      <c r="G44" s="29">
        <f t="shared" si="2"/>
        <v>576</v>
      </c>
      <c r="H44" s="55">
        <f t="shared" si="0"/>
        <v>9.7627118644067803</v>
      </c>
      <c r="I44" s="54">
        <f t="shared" si="1"/>
        <v>5.8617527889259355E-3</v>
      </c>
    </row>
    <row r="45" spans="1:13" ht="16" x14ac:dyDescent="0.2">
      <c r="A45" s="67" t="s">
        <v>64</v>
      </c>
      <c r="B45" s="3"/>
      <c r="C45" s="3"/>
      <c r="D45" s="27" t="s">
        <v>56</v>
      </c>
      <c r="E45" s="29">
        <f>C32</f>
        <v>59</v>
      </c>
      <c r="F45" s="34">
        <f>0.02*H32</f>
        <v>36.454980800000001</v>
      </c>
      <c r="G45" s="29">
        <f t="shared" si="2"/>
        <v>2150.8438672000002</v>
      </c>
      <c r="H45" s="55">
        <f t="shared" si="0"/>
        <v>36.454980800000001</v>
      </c>
      <c r="I45" s="54">
        <f t="shared" si="1"/>
        <v>2.1888394161638618E-2</v>
      </c>
    </row>
    <row r="46" spans="1:13" ht="16" x14ac:dyDescent="0.2">
      <c r="A46" s="27" t="s">
        <v>63</v>
      </c>
      <c r="B46" s="3"/>
      <c r="C46" s="3"/>
      <c r="D46" s="27" t="s">
        <v>56</v>
      </c>
      <c r="E46" s="29">
        <f>+C32</f>
        <v>59</v>
      </c>
      <c r="F46" s="34">
        <v>2</v>
      </c>
      <c r="G46" s="29">
        <f t="shared" si="2"/>
        <v>118</v>
      </c>
      <c r="H46" s="55">
        <f t="shared" si="0"/>
        <v>2</v>
      </c>
      <c r="I46" s="54">
        <f t="shared" si="1"/>
        <v>1.2008451893980214E-3</v>
      </c>
    </row>
    <row r="47" spans="1:13" ht="16" x14ac:dyDescent="0.2">
      <c r="A47" s="27" t="s">
        <v>62</v>
      </c>
      <c r="B47" s="3"/>
      <c r="C47" s="3"/>
      <c r="D47" s="27" t="s">
        <v>50</v>
      </c>
      <c r="E47" s="49" t="s">
        <v>23</v>
      </c>
      <c r="F47" s="105"/>
      <c r="G47" s="29">
        <f>L111</f>
        <v>332.9986761904762</v>
      </c>
      <c r="H47" s="55">
        <f t="shared" si="0"/>
        <v>5.6440453591606135</v>
      </c>
      <c r="I47" s="54">
        <f t="shared" si="1"/>
        <v>3.3888123591461253E-3</v>
      </c>
    </row>
    <row r="48" spans="1:13" ht="17" thickBot="1" x14ac:dyDescent="0.25">
      <c r="A48" s="27" t="s">
        <v>61</v>
      </c>
      <c r="B48" s="3"/>
      <c r="C48" s="3"/>
      <c r="D48" s="27" t="s">
        <v>50</v>
      </c>
      <c r="E48" s="105">
        <f>((G35+G39+G40)*$C$21/365)+(G36*($C$21+30)/365)+(G42*($C$21*0.67/365))+((G37+G38+G41+G43+G44+G46+G47)*($C$21*0.5)/365)</f>
        <v>46347.048404435751</v>
      </c>
      <c r="F48" s="66">
        <v>0.08</v>
      </c>
      <c r="G48" s="65">
        <f>F48*E48</f>
        <v>3707.7638723548603</v>
      </c>
      <c r="H48" s="64">
        <f t="shared" si="0"/>
        <v>62.843455463641696</v>
      </c>
      <c r="I48" s="63">
        <f t="shared" si="1"/>
        <v>3.7732630589331469E-2</v>
      </c>
      <c r="K48" s="33">
        <f>G35*8/12*F48</f>
        <v>3494.4</v>
      </c>
    </row>
    <row r="49" spans="1:17" ht="16" x14ac:dyDescent="0.2">
      <c r="A49" s="3"/>
      <c r="B49" s="3"/>
      <c r="C49" s="3"/>
      <c r="D49" s="3"/>
      <c r="E49" s="49" t="s">
        <v>23</v>
      </c>
      <c r="F49" s="49" t="s">
        <v>23</v>
      </c>
      <c r="G49" s="62"/>
      <c r="H49" s="55"/>
      <c r="I49" s="54"/>
      <c r="Q49" s="101"/>
    </row>
    <row r="50" spans="1:17" ht="16" x14ac:dyDescent="0.2">
      <c r="A50" s="27" t="s">
        <v>60</v>
      </c>
      <c r="B50" s="3"/>
      <c r="C50" s="3"/>
      <c r="D50" s="3"/>
      <c r="E50" s="49" t="s">
        <v>23</v>
      </c>
      <c r="F50" s="49" t="s">
        <v>23</v>
      </c>
      <c r="G50" s="29">
        <f>SUM(G35:G48)</f>
        <v>94893.966415745337</v>
      </c>
      <c r="H50" s="55">
        <f>G50/$C$32</f>
        <v>1608.3723121312769</v>
      </c>
      <c r="I50" s="54">
        <f>SUM(I35:I48)</f>
        <v>0.96570307689190837</v>
      </c>
    </row>
    <row r="51" spans="1:17" ht="16" x14ac:dyDescent="0.2">
      <c r="A51" s="3"/>
      <c r="B51" s="3"/>
      <c r="C51" s="3"/>
      <c r="D51" s="3"/>
      <c r="E51" s="49" t="s">
        <v>23</v>
      </c>
      <c r="F51" s="49" t="s">
        <v>23</v>
      </c>
      <c r="G51" s="49" t="s">
        <v>23</v>
      </c>
      <c r="H51" s="55"/>
      <c r="I51" s="54"/>
    </row>
    <row r="52" spans="1:17" ht="16" x14ac:dyDescent="0.2">
      <c r="A52" s="61" t="s">
        <v>59</v>
      </c>
      <c r="B52" s="60"/>
      <c r="C52" s="60"/>
      <c r="D52" s="60"/>
      <c r="E52" s="59" t="s">
        <v>23</v>
      </c>
      <c r="F52" s="59" t="s">
        <v>23</v>
      </c>
      <c r="G52" s="58">
        <f>G32-G50</f>
        <v>12648.226944254653</v>
      </c>
      <c r="H52" s="57">
        <f>G52/$C$32</f>
        <v>214.37672786872292</v>
      </c>
      <c r="I52" s="56"/>
    </row>
    <row r="53" spans="1:17" ht="16" x14ac:dyDescent="0.2">
      <c r="A53" s="3"/>
      <c r="B53" s="3"/>
      <c r="C53" s="3"/>
      <c r="D53" s="3"/>
      <c r="E53" s="49" t="s">
        <v>23</v>
      </c>
      <c r="F53" s="29"/>
      <c r="G53" s="49" t="s">
        <v>23</v>
      </c>
      <c r="H53" s="55"/>
      <c r="I53" s="54"/>
    </row>
    <row r="54" spans="1:17" ht="16" x14ac:dyDescent="0.2">
      <c r="A54" s="22" t="s">
        <v>58</v>
      </c>
      <c r="B54" s="3"/>
      <c r="C54" s="3"/>
      <c r="D54" s="3"/>
      <c r="E54" s="49" t="s">
        <v>23</v>
      </c>
      <c r="F54" s="29"/>
      <c r="G54" s="49" t="s">
        <v>23</v>
      </c>
      <c r="H54" s="55"/>
      <c r="I54" s="54"/>
    </row>
    <row r="55" spans="1:17" ht="16" x14ac:dyDescent="0.2">
      <c r="A55" s="27" t="s">
        <v>57</v>
      </c>
      <c r="B55" s="3"/>
      <c r="C55" s="3"/>
      <c r="D55" s="27" t="s">
        <v>56</v>
      </c>
      <c r="E55" s="29">
        <f>A18</f>
        <v>60</v>
      </c>
      <c r="F55" s="34">
        <v>2.5</v>
      </c>
      <c r="G55" s="29">
        <f>F55*E55</f>
        <v>150</v>
      </c>
      <c r="H55" s="55">
        <f>G55/$C$32</f>
        <v>2.5423728813559321</v>
      </c>
      <c r="I55" s="54">
        <f>H55/$H$63</f>
        <v>1.5264981221161289E-3</v>
      </c>
    </row>
    <row r="56" spans="1:17" ht="16" x14ac:dyDescent="0.2">
      <c r="A56" s="27" t="s">
        <v>55</v>
      </c>
      <c r="B56" s="3"/>
      <c r="C56" s="3"/>
      <c r="D56" s="27" t="s">
        <v>54</v>
      </c>
      <c r="E56" s="29">
        <f>E36</f>
        <v>36</v>
      </c>
      <c r="F56" s="34">
        <v>24.68</v>
      </c>
      <c r="G56" s="29">
        <f>F56*E56</f>
        <v>888.48</v>
      </c>
      <c r="H56" s="55">
        <v>24.68</v>
      </c>
      <c r="I56" s="54">
        <f>H56/$H$63</f>
        <v>1.4818429637171584E-2</v>
      </c>
    </row>
    <row r="57" spans="1:17" ht="16" x14ac:dyDescent="0.2">
      <c r="A57" s="27" t="s">
        <v>53</v>
      </c>
      <c r="B57" s="3"/>
      <c r="C57" s="3"/>
      <c r="D57" s="27" t="s">
        <v>50</v>
      </c>
      <c r="E57" s="29">
        <f>(F111+J111)/2</f>
        <v>10260.120000000001</v>
      </c>
      <c r="F57" s="66">
        <v>6.5000000000000002E-2</v>
      </c>
      <c r="G57" s="29">
        <f>F57*E57</f>
        <v>666.90780000000007</v>
      </c>
      <c r="H57" s="55">
        <f>G57/$C$32</f>
        <v>11.303522033898306</v>
      </c>
      <c r="I57" s="54">
        <f>H57/$H$63</f>
        <v>6.7868900288306595E-3</v>
      </c>
    </row>
    <row r="58" spans="1:17" ht="16" x14ac:dyDescent="0.2">
      <c r="A58" s="27" t="s">
        <v>52</v>
      </c>
      <c r="B58" s="3"/>
      <c r="C58" s="3"/>
      <c r="D58" s="27" t="s">
        <v>50</v>
      </c>
      <c r="E58" s="49" t="s">
        <v>23</v>
      </c>
      <c r="F58" s="49" t="s">
        <v>23</v>
      </c>
      <c r="G58" s="29">
        <f>K111</f>
        <v>1522.136238095238</v>
      </c>
      <c r="H58" s="55">
        <f>G58/$C$32</f>
        <v>25.798919289749797</v>
      </c>
      <c r="I58" s="54">
        <f>H58/$H$63</f>
        <v>1.5490254060381931E-2</v>
      </c>
    </row>
    <row r="59" spans="1:17" ht="17" thickBot="1" x14ac:dyDescent="0.25">
      <c r="A59" s="27" t="s">
        <v>51</v>
      </c>
      <c r="B59" s="3"/>
      <c r="C59" s="3"/>
      <c r="D59" s="27" t="s">
        <v>50</v>
      </c>
      <c r="E59" s="49" t="s">
        <v>23</v>
      </c>
      <c r="F59" s="49" t="s">
        <v>23</v>
      </c>
      <c r="G59" s="65">
        <f>M111</f>
        <v>142.63305</v>
      </c>
      <c r="H59" s="64">
        <f>G59/$C$32</f>
        <v>2.4175093220338981</v>
      </c>
      <c r="I59" s="63">
        <f>H59/$H$63</f>
        <v>1.4515272198446392E-3</v>
      </c>
    </row>
    <row r="60" spans="1:17" ht="16" x14ac:dyDescent="0.2">
      <c r="A60" s="3"/>
      <c r="B60" s="3"/>
      <c r="C60" s="3"/>
      <c r="D60" s="3"/>
      <c r="E60" s="49" t="s">
        <v>23</v>
      </c>
      <c r="F60" s="49" t="s">
        <v>23</v>
      </c>
      <c r="G60" s="62"/>
      <c r="H60" s="55"/>
      <c r="I60" s="54" t="s">
        <v>23</v>
      </c>
    </row>
    <row r="61" spans="1:17" ht="16" x14ac:dyDescent="0.2">
      <c r="A61" s="27" t="s">
        <v>49</v>
      </c>
      <c r="B61" s="3"/>
      <c r="C61" s="3"/>
      <c r="D61" s="3"/>
      <c r="E61" s="49" t="s">
        <v>23</v>
      </c>
      <c r="F61" s="49" t="s">
        <v>23</v>
      </c>
      <c r="G61" s="29">
        <f>SUM(G55:G59)</f>
        <v>3370.1570880952381</v>
      </c>
      <c r="H61" s="55">
        <f>G61/$C$32</f>
        <v>57.121306577885392</v>
      </c>
      <c r="I61" s="54">
        <f>SUM(I55:I59)</f>
        <v>4.0073599068344942E-2</v>
      </c>
    </row>
    <row r="62" spans="1:17" ht="16" x14ac:dyDescent="0.2">
      <c r="A62" s="3"/>
      <c r="B62" s="3"/>
      <c r="C62" s="3"/>
      <c r="D62" s="3"/>
      <c r="E62" s="49" t="s">
        <v>23</v>
      </c>
      <c r="F62" s="49" t="s">
        <v>23</v>
      </c>
      <c r="G62" s="49" t="s">
        <v>23</v>
      </c>
      <c r="H62" s="55"/>
      <c r="I62" s="54" t="s">
        <v>23</v>
      </c>
    </row>
    <row r="63" spans="1:17" ht="16" x14ac:dyDescent="0.2">
      <c r="A63" s="61" t="s">
        <v>48</v>
      </c>
      <c r="B63" s="60"/>
      <c r="C63" s="60"/>
      <c r="D63" s="60"/>
      <c r="E63" s="58"/>
      <c r="F63" s="59" t="s">
        <v>23</v>
      </c>
      <c r="G63" s="58">
        <f>G50+G61</f>
        <v>98264.123503840572</v>
      </c>
      <c r="H63" s="57">
        <f>G63/$C$32</f>
        <v>1665.4936187091623</v>
      </c>
      <c r="I63" s="56">
        <f>SUM(I35:I48,I55:I59)</f>
        <v>1.0057766759602533</v>
      </c>
    </row>
    <row r="64" spans="1:17" ht="16" x14ac:dyDescent="0.2">
      <c r="A64" s="3"/>
      <c r="B64" s="3"/>
      <c r="C64" s="3"/>
      <c r="D64" s="3"/>
      <c r="E64" s="49" t="s">
        <v>23</v>
      </c>
      <c r="F64" s="49" t="s">
        <v>23</v>
      </c>
      <c r="G64" s="49" t="s">
        <v>23</v>
      </c>
      <c r="H64" s="55"/>
      <c r="I64" s="54" t="s">
        <v>23</v>
      </c>
    </row>
    <row r="65" spans="1:9" ht="17" thickBot="1" x14ac:dyDescent="0.25">
      <c r="A65" s="53" t="s">
        <v>47</v>
      </c>
      <c r="B65" s="48"/>
      <c r="C65" s="48"/>
      <c r="D65" s="48"/>
      <c r="E65" s="47"/>
      <c r="F65" s="47"/>
      <c r="G65" s="47">
        <f>G32-G63</f>
        <v>9278.0698561594181</v>
      </c>
      <c r="H65" s="52">
        <f>G65/$C$32</f>
        <v>157.2554212908376</v>
      </c>
      <c r="I65" s="51" t="s">
        <v>23</v>
      </c>
    </row>
    <row r="66" spans="1:9" s="50" customFormat="1" ht="18" thickTop="1" thickBot="1" x14ac:dyDescent="0.25">
      <c r="A66" s="36"/>
      <c r="B66" s="3"/>
      <c r="C66" s="3"/>
      <c r="D66" s="3"/>
      <c r="E66" s="29"/>
      <c r="F66" s="29"/>
      <c r="G66" s="29"/>
      <c r="H66" s="3"/>
      <c r="I66" s="7" t="s">
        <v>23</v>
      </c>
    </row>
    <row r="67" spans="1:9" ht="17" thickTop="1" x14ac:dyDescent="0.2">
      <c r="A67" s="27" t="s">
        <v>46</v>
      </c>
      <c r="B67" s="3"/>
      <c r="C67" s="3"/>
      <c r="D67" s="3"/>
      <c r="E67" s="29"/>
      <c r="F67" s="29"/>
      <c r="G67" s="29">
        <f>G32/C32</f>
        <v>1822.7490399999999</v>
      </c>
      <c r="H67" s="30"/>
      <c r="I67" s="7" t="s">
        <v>23</v>
      </c>
    </row>
    <row r="68" spans="1:9" ht="16" x14ac:dyDescent="0.2">
      <c r="A68" s="3"/>
      <c r="B68" s="3"/>
      <c r="C68" s="3"/>
      <c r="D68" s="3"/>
      <c r="E68" s="29"/>
      <c r="F68" s="29"/>
      <c r="G68" s="29"/>
      <c r="H68" s="3"/>
      <c r="I68" s="7" t="s">
        <v>23</v>
      </c>
    </row>
    <row r="69" spans="1:9" ht="16" x14ac:dyDescent="0.2">
      <c r="A69" s="27" t="s">
        <v>45</v>
      </c>
      <c r="B69" s="3"/>
      <c r="C69" s="3"/>
      <c r="D69" s="3"/>
      <c r="E69" s="29"/>
      <c r="F69" s="29"/>
      <c r="G69" s="29">
        <f>G35/C32</f>
        <v>1110.5084745762713</v>
      </c>
      <c r="H69" s="30"/>
      <c r="I69" s="7" t="s">
        <v>23</v>
      </c>
    </row>
    <row r="70" spans="1:9" ht="16" x14ac:dyDescent="0.2">
      <c r="A70" s="3"/>
      <c r="B70" s="3"/>
      <c r="C70" s="3"/>
      <c r="D70" s="3"/>
      <c r="E70" s="29"/>
      <c r="F70" s="29"/>
      <c r="G70" s="29"/>
      <c r="H70" s="3"/>
      <c r="I70" s="7" t="s">
        <v>23</v>
      </c>
    </row>
    <row r="71" spans="1:9" ht="16" x14ac:dyDescent="0.2">
      <c r="A71" s="16">
        <f>((E32*C32)-E35*C35)/C32</f>
        <v>3.3802033898305077</v>
      </c>
      <c r="B71" s="27" t="s">
        <v>44</v>
      </c>
      <c r="C71" s="3"/>
      <c r="D71" s="27" t="s">
        <v>43</v>
      </c>
      <c r="E71" s="29"/>
      <c r="F71" s="29"/>
      <c r="G71" s="29">
        <f>G67-G69</f>
        <v>712.24056542372864</v>
      </c>
      <c r="H71" s="30"/>
      <c r="I71" s="7" t="s">
        <v>23</v>
      </c>
    </row>
    <row r="72" spans="1:9" ht="16" x14ac:dyDescent="0.2">
      <c r="A72" s="3"/>
      <c r="B72" s="3"/>
      <c r="C72" s="3"/>
      <c r="D72" s="3"/>
      <c r="E72" s="29"/>
      <c r="F72" s="29"/>
      <c r="G72" s="29"/>
      <c r="H72" s="3"/>
      <c r="I72" s="7" t="s">
        <v>23</v>
      </c>
    </row>
    <row r="73" spans="1:9" ht="16" x14ac:dyDescent="0.2">
      <c r="A73" s="27" t="s">
        <v>42</v>
      </c>
      <c r="B73" s="3"/>
      <c r="C73" s="3"/>
      <c r="D73" s="3"/>
      <c r="E73" s="29"/>
      <c r="F73" s="29"/>
      <c r="G73" s="29">
        <f>(G63-G35)/C32</f>
        <v>554.98514413289104</v>
      </c>
      <c r="H73" s="30"/>
      <c r="I73" s="7" t="s">
        <v>23</v>
      </c>
    </row>
    <row r="74" spans="1:9" ht="16" x14ac:dyDescent="0.2">
      <c r="A74" s="3"/>
      <c r="B74" s="3"/>
      <c r="C74" s="3"/>
      <c r="D74" s="3"/>
      <c r="E74" s="29"/>
      <c r="F74" s="29"/>
      <c r="G74" s="29"/>
      <c r="H74" s="3"/>
      <c r="I74" s="3"/>
    </row>
    <row r="75" spans="1:9" ht="16" x14ac:dyDescent="0.2">
      <c r="A75" s="27" t="s">
        <v>41</v>
      </c>
      <c r="B75" s="3"/>
      <c r="C75" s="3"/>
      <c r="D75" s="3"/>
      <c r="E75" s="29"/>
      <c r="F75" s="29"/>
      <c r="G75" s="29">
        <f>(G32-G35)/((E32*C32)-E35*C35)</f>
        <v>210.70938144329895</v>
      </c>
      <c r="H75" s="30"/>
      <c r="I75" s="7" t="s">
        <v>23</v>
      </c>
    </row>
    <row r="76" spans="1:9" ht="16" x14ac:dyDescent="0.2">
      <c r="A76" s="3"/>
      <c r="B76" s="3"/>
      <c r="C76" s="3"/>
      <c r="D76" s="3"/>
      <c r="E76" s="29"/>
      <c r="F76" s="29"/>
      <c r="G76" s="29"/>
      <c r="H76" s="3"/>
      <c r="I76" s="7" t="s">
        <v>23</v>
      </c>
    </row>
    <row r="77" spans="1:9" ht="16" x14ac:dyDescent="0.2">
      <c r="A77" s="27" t="s">
        <v>134</v>
      </c>
      <c r="B77" s="3"/>
      <c r="C77" s="3"/>
      <c r="D77" s="3" t="s">
        <v>131</v>
      </c>
      <c r="E77" s="29"/>
      <c r="F77" s="29"/>
      <c r="G77" s="29">
        <f>(G50-G35)/((E32*C32)-E35*C35)</f>
        <v>147.28813036897461</v>
      </c>
      <c r="H77" s="30"/>
      <c r="I77" s="7" t="s">
        <v>23</v>
      </c>
    </row>
    <row r="78" spans="1:9" ht="16" x14ac:dyDescent="0.2">
      <c r="A78" s="3"/>
      <c r="B78" s="3"/>
      <c r="C78" s="3"/>
      <c r="D78" s="3"/>
      <c r="E78" s="29"/>
      <c r="F78" s="29"/>
      <c r="G78" s="29"/>
      <c r="H78" s="3"/>
      <c r="I78" s="7" t="s">
        <v>23</v>
      </c>
    </row>
    <row r="79" spans="1:9" ht="16" x14ac:dyDescent="0.2">
      <c r="A79" s="27" t="s">
        <v>135</v>
      </c>
      <c r="B79" s="3"/>
      <c r="C79" s="3"/>
      <c r="D79" s="3" t="s">
        <v>132</v>
      </c>
      <c r="E79" s="29"/>
      <c r="F79" s="29"/>
      <c r="G79" s="29">
        <f>(G63-G35)/((E32*C32)-E35*C35)</f>
        <v>164.18690833888533</v>
      </c>
      <c r="H79" s="30"/>
      <c r="I79" s="7" t="s">
        <v>23</v>
      </c>
    </row>
    <row r="80" spans="1:9" ht="16" x14ac:dyDescent="0.2">
      <c r="A80" s="3"/>
      <c r="B80" s="3"/>
      <c r="C80" s="3"/>
      <c r="D80" s="3"/>
      <c r="E80" s="29"/>
      <c r="F80" s="29"/>
      <c r="G80" s="29"/>
      <c r="H80" s="3"/>
      <c r="I80" s="7" t="s">
        <v>23</v>
      </c>
    </row>
    <row r="81" spans="1:11" ht="16" x14ac:dyDescent="0.2">
      <c r="A81" s="27" t="s">
        <v>126</v>
      </c>
      <c r="B81" s="3"/>
      <c r="C81" s="3"/>
      <c r="D81" s="3" t="s">
        <v>127</v>
      </c>
      <c r="E81" s="29"/>
      <c r="F81" s="29"/>
      <c r="G81" s="29">
        <f>G52/C32</f>
        <v>214.37672786872292</v>
      </c>
      <c r="H81" s="30"/>
      <c r="I81" s="7" t="s">
        <v>23</v>
      </c>
    </row>
    <row r="82" spans="1:11" ht="16" x14ac:dyDescent="0.2">
      <c r="A82" s="3"/>
      <c r="B82" s="3"/>
      <c r="C82" s="3"/>
      <c r="D82" s="3"/>
      <c r="E82" s="49" t="s">
        <v>23</v>
      </c>
      <c r="F82" s="49" t="s">
        <v>23</v>
      </c>
      <c r="G82" s="49" t="s">
        <v>23</v>
      </c>
      <c r="H82" s="7"/>
      <c r="I82" s="7" t="s">
        <v>23</v>
      </c>
    </row>
    <row r="83" spans="1:11" ht="16" x14ac:dyDescent="0.2">
      <c r="A83" s="27" t="s">
        <v>128</v>
      </c>
      <c r="B83" s="3"/>
      <c r="C83" s="3"/>
      <c r="D83" s="3" t="s">
        <v>129</v>
      </c>
      <c r="E83" s="29"/>
      <c r="F83" s="29"/>
      <c r="G83" s="29">
        <f>G65/C32</f>
        <v>157.2554212908376</v>
      </c>
      <c r="H83" s="30"/>
      <c r="I83" s="7" t="s">
        <v>23</v>
      </c>
    </row>
    <row r="84" spans="1:11" ht="16" x14ac:dyDescent="0.2">
      <c r="A84" s="3"/>
      <c r="B84" s="3"/>
      <c r="C84" s="3"/>
      <c r="D84" s="3"/>
      <c r="E84" s="29"/>
      <c r="F84" s="29"/>
      <c r="G84" s="29"/>
      <c r="H84" s="3"/>
      <c r="I84" s="7" t="s">
        <v>23</v>
      </c>
    </row>
    <row r="85" spans="1:11" ht="16" x14ac:dyDescent="0.2">
      <c r="A85" s="27" t="s">
        <v>130</v>
      </c>
      <c r="B85" s="3"/>
      <c r="C85" s="3"/>
      <c r="D85" s="3" t="s">
        <v>131</v>
      </c>
      <c r="E85" s="29"/>
      <c r="F85" s="29"/>
      <c r="G85" s="29">
        <f>G50/(E32*C32)</f>
        <v>215.9468732721908</v>
      </c>
      <c r="H85" s="30"/>
      <c r="I85" s="7" t="s">
        <v>23</v>
      </c>
    </row>
    <row r="86" spans="1:11" ht="16" x14ac:dyDescent="0.2">
      <c r="A86" s="3"/>
      <c r="B86" s="3"/>
      <c r="C86" s="3"/>
      <c r="D86" s="3"/>
      <c r="E86" s="49" t="s">
        <v>23</v>
      </c>
      <c r="F86" s="49" t="s">
        <v>23</v>
      </c>
      <c r="G86" s="49" t="s">
        <v>23</v>
      </c>
      <c r="H86" s="7"/>
      <c r="I86" s="7" t="s">
        <v>23</v>
      </c>
    </row>
    <row r="87" spans="1:11" ht="16" x14ac:dyDescent="0.2">
      <c r="A87" s="27" t="s">
        <v>128</v>
      </c>
      <c r="B87" s="3"/>
      <c r="C87" s="3"/>
      <c r="D87" s="3" t="s">
        <v>132</v>
      </c>
      <c r="E87" s="29"/>
      <c r="F87" s="29"/>
      <c r="G87" s="29">
        <f>G63/(E32*C32)</f>
        <v>223.61622163119796</v>
      </c>
      <c r="H87" s="30"/>
      <c r="I87" s="7" t="s">
        <v>23</v>
      </c>
      <c r="K87" s="113">
        <f>(E35*K88)*8/12*F48</f>
        <v>3989.2303923285026</v>
      </c>
    </row>
    <row r="88" spans="1:11" ht="16" x14ac:dyDescent="0.2">
      <c r="A88" s="3"/>
      <c r="B88" s="3"/>
      <c r="C88" s="3"/>
      <c r="D88" s="3"/>
      <c r="E88" s="29"/>
      <c r="F88" s="29"/>
      <c r="G88" s="29"/>
      <c r="H88" s="3"/>
      <c r="I88" s="3"/>
      <c r="K88" s="101">
        <f>(G65+G35)/(E35)</f>
        <v>18699.517464039855</v>
      </c>
    </row>
    <row r="89" spans="1:11" ht="16" x14ac:dyDescent="0.2">
      <c r="A89" s="27" t="s">
        <v>133</v>
      </c>
      <c r="B89" s="3"/>
      <c r="C89" s="3"/>
      <c r="D89" s="3" t="s">
        <v>131</v>
      </c>
      <c r="E89" s="29"/>
      <c r="F89" s="29"/>
      <c r="G89" s="29">
        <f>(G52+G35+(K48-K87))/(E35*C35)</f>
        <v>323.63915229969228</v>
      </c>
      <c r="H89" s="30"/>
      <c r="I89" s="7" t="s">
        <v>23</v>
      </c>
    </row>
    <row r="90" spans="1:11" ht="16" x14ac:dyDescent="0.2">
      <c r="A90" s="3"/>
      <c r="B90" s="3"/>
      <c r="C90" s="3"/>
      <c r="D90" s="3"/>
      <c r="E90" s="29"/>
      <c r="F90" s="29"/>
      <c r="G90" s="29"/>
      <c r="H90" s="3"/>
      <c r="I90" s="3"/>
    </row>
    <row r="91" spans="1:11" ht="16" x14ac:dyDescent="0.2">
      <c r="A91" s="27" t="s">
        <v>128</v>
      </c>
      <c r="B91" s="3"/>
      <c r="C91" s="3"/>
      <c r="D91" s="3" t="s">
        <v>132</v>
      </c>
      <c r="E91" s="29"/>
      <c r="F91" s="29"/>
      <c r="G91" s="29">
        <f>(G65+G35+(K48-K87))/(E35*C35)</f>
        <v>309.59683109929551</v>
      </c>
      <c r="H91" s="30"/>
      <c r="I91" s="7" t="s">
        <v>23</v>
      </c>
    </row>
    <row r="92" spans="1:11" ht="16" x14ac:dyDescent="0.2">
      <c r="A92" s="36"/>
      <c r="B92" s="3"/>
      <c r="C92" s="3"/>
      <c r="D92" s="3"/>
      <c r="E92" s="3"/>
      <c r="F92" s="3"/>
      <c r="G92" s="3"/>
      <c r="H92" s="3"/>
      <c r="I92" s="7" t="s">
        <v>23</v>
      </c>
    </row>
    <row r="93" spans="1:11" ht="16" x14ac:dyDescent="0.2">
      <c r="A93" s="27" t="s">
        <v>40</v>
      </c>
      <c r="B93" s="3"/>
      <c r="C93" s="3"/>
      <c r="D93" s="3"/>
      <c r="E93" s="3"/>
      <c r="F93" s="3"/>
      <c r="G93" s="3"/>
      <c r="H93" s="3"/>
      <c r="I93" s="3"/>
    </row>
    <row r="94" spans="1:11" s="43" customFormat="1" ht="16" x14ac:dyDescent="0.2">
      <c r="A94" s="46">
        <f>A18</f>
        <v>60</v>
      </c>
      <c r="B94" s="45" t="str">
        <f>B18</f>
        <v xml:space="preserve"> HEAD: STOCKER-STEER BUDGET (STOCKPILED NOVEL ENDOPHYTE FESCUE);</v>
      </c>
      <c r="C94" s="44"/>
      <c r="D94" s="44"/>
      <c r="E94" s="44"/>
      <c r="F94" s="44"/>
      <c r="G94" s="44"/>
      <c r="H94" s="44"/>
      <c r="I94" s="44"/>
    </row>
    <row r="95" spans="1:11" ht="16" x14ac:dyDescent="0.2">
      <c r="A95" s="3"/>
      <c r="B95" s="7"/>
      <c r="C95" s="3"/>
      <c r="D95" s="3"/>
      <c r="E95" s="3"/>
      <c r="F95" s="3"/>
      <c r="G95" s="3"/>
      <c r="H95" s="3"/>
      <c r="I95" s="3"/>
    </row>
    <row r="96" spans="1:11" ht="16" x14ac:dyDescent="0.2">
      <c r="A96" s="3"/>
      <c r="B96" s="3"/>
      <c r="C96" s="3"/>
      <c r="D96" s="3"/>
      <c r="E96" s="3"/>
      <c r="F96" s="3"/>
      <c r="G96" s="3"/>
      <c r="H96" s="3"/>
      <c r="I96" s="3"/>
    </row>
    <row r="97" spans="1:14" ht="16" x14ac:dyDescent="0.2">
      <c r="A97" s="3"/>
      <c r="B97" s="3"/>
      <c r="C97" s="3"/>
      <c r="D97" s="8" t="s">
        <v>39</v>
      </c>
      <c r="E97" s="3"/>
      <c r="F97" s="3"/>
      <c r="G97" s="3"/>
      <c r="H97" s="3"/>
      <c r="I97" s="3"/>
    </row>
    <row r="98" spans="1:14" ht="16" x14ac:dyDescent="0.2">
      <c r="A98" s="3"/>
      <c r="B98" s="3"/>
      <c r="C98" s="3"/>
      <c r="D98" s="8"/>
      <c r="E98" s="3"/>
      <c r="F98" s="3"/>
      <c r="G98" s="3"/>
      <c r="H98" s="3"/>
      <c r="I98" s="3"/>
    </row>
    <row r="99" spans="1:14" ht="16" x14ac:dyDescent="0.2">
      <c r="A99" s="3"/>
      <c r="B99" s="3"/>
      <c r="C99" s="3"/>
      <c r="D99" s="3"/>
      <c r="E99" s="3"/>
      <c r="F99" s="3"/>
      <c r="G99" s="3"/>
      <c r="H99" s="3"/>
      <c r="I99" s="3"/>
    </row>
    <row r="100" spans="1:14" ht="16" x14ac:dyDescent="0.2">
      <c r="A100" s="27" t="s">
        <v>38</v>
      </c>
      <c r="B100" s="42"/>
      <c r="C100" s="37" t="s">
        <v>37</v>
      </c>
      <c r="D100" s="37"/>
      <c r="E100" s="37" t="s">
        <v>36</v>
      </c>
      <c r="F100" s="37" t="s">
        <v>16</v>
      </c>
      <c r="G100" s="37" t="s">
        <v>34</v>
      </c>
      <c r="H100" s="37" t="s">
        <v>35</v>
      </c>
      <c r="I100" s="37"/>
      <c r="J100" s="38" t="s">
        <v>34</v>
      </c>
      <c r="K100" s="38" t="s">
        <v>33</v>
      </c>
      <c r="L100" s="38" t="s">
        <v>32</v>
      </c>
      <c r="M100" s="38" t="s">
        <v>31</v>
      </c>
    </row>
    <row r="101" spans="1:14" ht="16" x14ac:dyDescent="0.2">
      <c r="A101" s="10"/>
      <c r="B101" s="41"/>
      <c r="C101" s="40" t="s">
        <v>30</v>
      </c>
      <c r="D101" s="39" t="s">
        <v>29</v>
      </c>
      <c r="E101" s="40" t="s">
        <v>28</v>
      </c>
      <c r="F101" s="39" t="s">
        <v>28</v>
      </c>
      <c r="G101" s="39" t="s">
        <v>27</v>
      </c>
      <c r="H101" s="39" t="s">
        <v>26</v>
      </c>
      <c r="I101" s="37"/>
      <c r="J101" s="38" t="s">
        <v>25</v>
      </c>
      <c r="K101" s="38" t="s">
        <v>24</v>
      </c>
    </row>
    <row r="102" spans="1:14" ht="16" x14ac:dyDescent="0.2">
      <c r="A102" s="3"/>
      <c r="B102" s="3"/>
      <c r="C102" s="3"/>
      <c r="D102" s="37" t="s">
        <v>23</v>
      </c>
      <c r="E102" s="3"/>
      <c r="F102" s="37" t="s">
        <v>23</v>
      </c>
      <c r="G102" s="37"/>
      <c r="H102" s="3"/>
      <c r="I102" s="3"/>
    </row>
    <row r="103" spans="1:14" ht="16" x14ac:dyDescent="0.2">
      <c r="A103" s="36"/>
      <c r="B103" s="3"/>
      <c r="C103" s="3"/>
      <c r="D103" s="3"/>
      <c r="E103" s="3"/>
      <c r="F103" s="3"/>
      <c r="G103" s="3"/>
      <c r="H103" s="3"/>
      <c r="I103" s="3"/>
    </row>
    <row r="104" spans="1:14" ht="16" x14ac:dyDescent="0.2">
      <c r="A104" s="106" t="s">
        <v>22</v>
      </c>
      <c r="B104" s="35"/>
      <c r="C104" s="107">
        <v>12197</v>
      </c>
      <c r="D104" s="108">
        <v>1</v>
      </c>
      <c r="E104" s="108">
        <v>0.67</v>
      </c>
      <c r="F104" s="105">
        <f t="shared" ref="F104:F109" si="3">C104*D104*E104</f>
        <v>8171.9900000000007</v>
      </c>
      <c r="G104" s="108">
        <v>0</v>
      </c>
      <c r="H104" s="108">
        <v>15</v>
      </c>
      <c r="I104" s="31"/>
      <c r="J104" s="1">
        <f>F104/100*G104</f>
        <v>0</v>
      </c>
      <c r="K104" s="1">
        <f>IF(F104=0,0,(F104-J104)/H104)</f>
        <v>544.79933333333338</v>
      </c>
      <c r="L104" s="1">
        <f>IF(F104=0,0,(0.2*F104)/H104)</f>
        <v>108.95986666666667</v>
      </c>
      <c r="M104" s="1">
        <f>0.0075*F104</f>
        <v>61.289925000000004</v>
      </c>
      <c r="N104" s="33">
        <f>IF(A20&lt;450,45,45*1.1)</f>
        <v>45</v>
      </c>
    </row>
    <row r="105" spans="1:14" ht="16" x14ac:dyDescent="0.2">
      <c r="A105" s="106" t="s">
        <v>21</v>
      </c>
      <c r="B105" s="35"/>
      <c r="C105" s="107">
        <v>8000</v>
      </c>
      <c r="D105" s="108">
        <v>1</v>
      </c>
      <c r="E105" s="108">
        <v>0.67</v>
      </c>
      <c r="F105" s="105">
        <f t="shared" si="3"/>
        <v>5360</v>
      </c>
      <c r="G105" s="108">
        <v>0</v>
      </c>
      <c r="H105" s="108">
        <v>15</v>
      </c>
      <c r="I105" s="31"/>
      <c r="J105" s="1">
        <f>F105/100*G105</f>
        <v>0</v>
      </c>
      <c r="K105" s="1">
        <f>IF(F105=0,0,(F105-J105)/H105)</f>
        <v>357.33333333333331</v>
      </c>
      <c r="L105" s="1">
        <f>IF(F105=0,0,(0.2*F105)/H105)</f>
        <v>71.466666666666669</v>
      </c>
      <c r="M105" s="1">
        <f>0.0075*F105</f>
        <v>40.199999999999996</v>
      </c>
      <c r="N105" s="33">
        <v>60</v>
      </c>
    </row>
    <row r="106" spans="1:14" ht="16" x14ac:dyDescent="0.2">
      <c r="A106" s="106" t="s">
        <v>20</v>
      </c>
      <c r="B106" s="35"/>
      <c r="C106" s="107">
        <v>450</v>
      </c>
      <c r="D106" s="108">
        <v>1</v>
      </c>
      <c r="E106" s="108">
        <v>0.67</v>
      </c>
      <c r="F106" s="105">
        <f t="shared" si="3"/>
        <v>301.5</v>
      </c>
      <c r="G106" s="108">
        <v>0</v>
      </c>
      <c r="H106" s="108">
        <v>10</v>
      </c>
      <c r="I106" s="31"/>
      <c r="J106" s="1">
        <f>F106/100*G106</f>
        <v>0</v>
      </c>
      <c r="K106" s="1">
        <f>IF(F106=0,0,(F106-J106)/H106)</f>
        <v>30.15</v>
      </c>
      <c r="L106" s="1">
        <f>IF(F106=0,0,(0.2*F106)/H106)</f>
        <v>6.03</v>
      </c>
      <c r="M106" s="1">
        <f>0.0075*F106</f>
        <v>2.26125</v>
      </c>
      <c r="N106" s="33">
        <v>7</v>
      </c>
    </row>
    <row r="107" spans="1:14" ht="16" x14ac:dyDescent="0.2">
      <c r="A107" s="106" t="s">
        <v>19</v>
      </c>
      <c r="B107" s="35"/>
      <c r="C107" s="107">
        <v>750</v>
      </c>
      <c r="D107" s="108">
        <v>1</v>
      </c>
      <c r="E107" s="108">
        <v>0.67</v>
      </c>
      <c r="F107" s="105">
        <f t="shared" si="3"/>
        <v>502.50000000000006</v>
      </c>
      <c r="G107" s="108">
        <v>0</v>
      </c>
      <c r="H107" s="108">
        <v>10</v>
      </c>
      <c r="I107" s="31"/>
    </row>
    <row r="108" spans="1:14" ht="16" x14ac:dyDescent="0.2">
      <c r="A108" s="106" t="s">
        <v>18</v>
      </c>
      <c r="B108" s="35"/>
      <c r="C108" s="107">
        <v>275</v>
      </c>
      <c r="D108" s="108">
        <v>1</v>
      </c>
      <c r="E108" s="108">
        <v>0.67</v>
      </c>
      <c r="F108" s="105">
        <f t="shared" si="3"/>
        <v>184.25</v>
      </c>
      <c r="G108" s="108">
        <v>0</v>
      </c>
      <c r="H108" s="108">
        <v>10</v>
      </c>
      <c r="I108" s="31"/>
      <c r="J108" s="1">
        <f>F108/100*G108</f>
        <v>0</v>
      </c>
      <c r="K108" s="1">
        <f>IF(F108=0,0,(F108-J108)/H108)</f>
        <v>18.425000000000001</v>
      </c>
      <c r="L108" s="1">
        <f>IF(F108=0,0,(0.2*F108)/H108)</f>
        <v>3.6850000000000001</v>
      </c>
      <c r="M108" s="1">
        <f>0.0075*F108</f>
        <v>1.381875</v>
      </c>
      <c r="N108" s="33">
        <v>5</v>
      </c>
    </row>
    <row r="109" spans="1:14" ht="17" thickBot="1" x14ac:dyDescent="0.25">
      <c r="A109" s="109" t="s">
        <v>17</v>
      </c>
      <c r="B109" s="32"/>
      <c r="C109" s="110">
        <v>50000</v>
      </c>
      <c r="D109" s="111">
        <v>1</v>
      </c>
      <c r="E109" s="111">
        <v>0.1</v>
      </c>
      <c r="F109" s="112">
        <f t="shared" si="3"/>
        <v>5000</v>
      </c>
      <c r="G109" s="111">
        <v>20</v>
      </c>
      <c r="H109" s="111">
        <v>7</v>
      </c>
      <c r="I109" s="31"/>
      <c r="J109" s="1">
        <f>F109/100*G109</f>
        <v>1000</v>
      </c>
      <c r="K109" s="1">
        <f>IF(F109=0,0,(F109-J109)/H109)</f>
        <v>571.42857142857144</v>
      </c>
      <c r="L109" s="1">
        <f>IF(F109=0,0,(0.2*F109)/H109)</f>
        <v>142.85714285714286</v>
      </c>
      <c r="M109" s="1">
        <f>0.0075*F109</f>
        <v>37.5</v>
      </c>
    </row>
    <row r="110" spans="1:14" ht="17" thickTop="1" x14ac:dyDescent="0.2">
      <c r="A110" s="30"/>
      <c r="B110" s="3"/>
      <c r="C110" s="3"/>
      <c r="D110" s="3"/>
      <c r="E110" s="3"/>
      <c r="F110" s="29"/>
      <c r="G110" s="3"/>
      <c r="H110" s="3"/>
      <c r="I110" s="3"/>
    </row>
    <row r="111" spans="1:14" ht="16" x14ac:dyDescent="0.2">
      <c r="A111" s="27" t="s">
        <v>16</v>
      </c>
      <c r="B111" s="3"/>
      <c r="C111" s="3"/>
      <c r="D111" s="3"/>
      <c r="E111" s="3"/>
      <c r="F111" s="29">
        <f>SUM(F104:F109)</f>
        <v>19520.240000000002</v>
      </c>
      <c r="G111" s="3"/>
      <c r="H111" s="3"/>
      <c r="I111" s="3"/>
      <c r="J111" s="1">
        <f>SUM(J104:J109)</f>
        <v>1000</v>
      </c>
      <c r="K111" s="1">
        <f>SUM(K104:K109)</f>
        <v>1522.136238095238</v>
      </c>
      <c r="L111" s="1">
        <f>SUM(L104:L109)</f>
        <v>332.9986761904762</v>
      </c>
      <c r="M111" s="1">
        <f>SUM(M104:M109)</f>
        <v>142.63305</v>
      </c>
    </row>
    <row r="112" spans="1:14" ht="16" x14ac:dyDescent="0.2">
      <c r="A112" s="27"/>
      <c r="B112" s="3"/>
      <c r="C112" s="3"/>
      <c r="D112" s="3"/>
      <c r="E112" s="3"/>
      <c r="F112" s="29"/>
      <c r="G112" s="3"/>
      <c r="H112" s="3"/>
      <c r="I112" s="3"/>
    </row>
    <row r="113" spans="1:9" ht="16" x14ac:dyDescent="0.2">
      <c r="A113" s="27"/>
      <c r="B113" s="3"/>
      <c r="C113" s="3"/>
      <c r="D113" s="3"/>
      <c r="E113" s="3"/>
      <c r="F113" s="29"/>
      <c r="G113" s="3"/>
      <c r="H113" s="3"/>
      <c r="I113" s="3"/>
    </row>
    <row r="114" spans="1:9" ht="16" x14ac:dyDescent="0.2">
      <c r="A114" s="27"/>
      <c r="B114" s="3"/>
      <c r="C114" s="3"/>
      <c r="D114" s="3"/>
      <c r="E114" s="3"/>
      <c r="F114" s="29"/>
      <c r="G114" s="3"/>
      <c r="H114" s="3"/>
      <c r="I114" s="3"/>
    </row>
    <row r="115" spans="1:9" ht="16" x14ac:dyDescent="0.2">
      <c r="A115" s="27"/>
      <c r="B115" s="3"/>
      <c r="C115" s="3"/>
      <c r="D115" s="3"/>
      <c r="E115" s="3"/>
      <c r="F115" s="29"/>
      <c r="G115" s="3"/>
      <c r="H115" s="3"/>
      <c r="I115" s="3"/>
    </row>
    <row r="116" spans="1:9" ht="16" x14ac:dyDescent="0.2">
      <c r="A116" s="3"/>
      <c r="B116" s="3"/>
      <c r="C116" s="28" t="s">
        <v>15</v>
      </c>
      <c r="D116" s="3"/>
      <c r="E116" s="3"/>
      <c r="F116" s="3"/>
      <c r="G116" s="3"/>
      <c r="H116" s="3"/>
      <c r="I116" s="3"/>
    </row>
    <row r="117" spans="1:9" ht="16" x14ac:dyDescent="0.2">
      <c r="A117" s="3"/>
      <c r="B117" s="3"/>
      <c r="C117" s="27" t="s">
        <v>14</v>
      </c>
      <c r="D117" s="3"/>
      <c r="E117" s="3"/>
      <c r="F117" s="3"/>
      <c r="G117" s="3"/>
      <c r="H117" s="3"/>
      <c r="I117" s="3"/>
    </row>
    <row r="118" spans="1:9" ht="16" x14ac:dyDescent="0.2">
      <c r="A118" s="3"/>
      <c r="B118" s="3"/>
      <c r="C118" s="27"/>
      <c r="D118" s="3"/>
      <c r="E118" s="3"/>
      <c r="F118" s="3"/>
      <c r="G118" s="3"/>
      <c r="H118" s="3"/>
      <c r="I118" s="3"/>
    </row>
    <row r="119" spans="1:9" ht="16" x14ac:dyDescent="0.2">
      <c r="A119" s="3"/>
      <c r="B119" s="3"/>
      <c r="C119" s="3"/>
      <c r="D119" s="3"/>
      <c r="E119" s="3"/>
      <c r="F119" s="3"/>
      <c r="G119" s="3"/>
      <c r="H119" s="3"/>
      <c r="I119" s="3"/>
    </row>
    <row r="120" spans="1:9" ht="16" x14ac:dyDescent="0.2">
      <c r="A120" s="3"/>
      <c r="B120" s="16" t="s">
        <v>13</v>
      </c>
      <c r="C120" s="16" t="s">
        <v>12</v>
      </c>
      <c r="D120" s="3"/>
      <c r="E120" s="3"/>
      <c r="F120" s="3"/>
      <c r="G120" s="3"/>
      <c r="H120" s="3"/>
      <c r="I120" s="3"/>
    </row>
    <row r="121" spans="1:9" ht="16" x14ac:dyDescent="0.2">
      <c r="A121" s="3"/>
      <c r="B121" s="16" t="s">
        <v>11</v>
      </c>
      <c r="C121" s="15" t="s">
        <v>10</v>
      </c>
      <c r="D121" s="3"/>
      <c r="E121" s="3"/>
      <c r="F121" s="16" t="s">
        <v>9</v>
      </c>
      <c r="G121" s="3"/>
      <c r="H121" s="3"/>
      <c r="I121" s="3"/>
    </row>
    <row r="122" spans="1:9" ht="16" x14ac:dyDescent="0.2">
      <c r="A122" s="26">
        <f>A20</f>
        <v>400</v>
      </c>
      <c r="B122" s="25" t="s">
        <v>8</v>
      </c>
      <c r="C122" s="15" t="s">
        <v>7</v>
      </c>
      <c r="D122" s="3"/>
      <c r="E122" s="3"/>
      <c r="F122" s="16" t="s">
        <v>6</v>
      </c>
      <c r="G122" s="3"/>
      <c r="H122" s="3"/>
      <c r="I122" s="3"/>
    </row>
    <row r="123" spans="1:9" ht="16" x14ac:dyDescent="0.2">
      <c r="A123" s="3"/>
      <c r="B123" s="16" t="s">
        <v>5</v>
      </c>
      <c r="C123" s="24" t="s">
        <v>4</v>
      </c>
      <c r="D123" s="3"/>
      <c r="E123" s="3"/>
      <c r="F123" s="16" t="s">
        <v>3</v>
      </c>
      <c r="G123" s="3"/>
      <c r="H123" s="3"/>
      <c r="I123" s="3"/>
    </row>
    <row r="124" spans="1:9" ht="16" x14ac:dyDescent="0.2">
      <c r="A124" s="3"/>
      <c r="B124" s="16"/>
      <c r="C124" s="3"/>
      <c r="D124" s="3"/>
      <c r="E124" s="3"/>
      <c r="F124" s="3"/>
      <c r="G124" s="3"/>
      <c r="H124" s="3"/>
      <c r="I124" s="3"/>
    </row>
    <row r="125" spans="1:9" ht="16" x14ac:dyDescent="0.2">
      <c r="A125" s="3"/>
      <c r="B125" s="3"/>
      <c r="C125" s="3"/>
      <c r="D125" s="10">
        <f>F125-10</f>
        <v>234.73000000000002</v>
      </c>
      <c r="E125" s="10">
        <f>F125-5</f>
        <v>239.73000000000002</v>
      </c>
      <c r="F125" s="10">
        <f>F32</f>
        <v>244.73000000000002</v>
      </c>
      <c r="G125" s="10">
        <f>F125+5</f>
        <v>249.73000000000002</v>
      </c>
      <c r="H125" s="10">
        <f>F125+10</f>
        <v>254.73000000000002</v>
      </c>
      <c r="I125" s="3"/>
    </row>
    <row r="126" spans="1:9" ht="16" x14ac:dyDescent="0.2">
      <c r="A126" s="3"/>
      <c r="B126" s="3"/>
      <c r="C126" s="19"/>
      <c r="D126" s="3"/>
      <c r="E126" s="3"/>
      <c r="F126" s="3"/>
      <c r="G126" s="3"/>
      <c r="H126" s="23"/>
      <c r="I126" s="3"/>
    </row>
    <row r="127" spans="1:9" ht="16" x14ac:dyDescent="0.2">
      <c r="A127" s="3"/>
      <c r="B127" s="3"/>
      <c r="C127" s="19"/>
      <c r="D127" s="3"/>
      <c r="E127" s="22" t="s">
        <v>2</v>
      </c>
      <c r="F127" s="3"/>
      <c r="G127" s="3"/>
      <c r="H127" s="19"/>
      <c r="I127" s="3"/>
    </row>
    <row r="128" spans="1:9" ht="16" x14ac:dyDescent="0.2">
      <c r="A128" s="3"/>
      <c r="B128" s="3"/>
      <c r="C128" s="19"/>
      <c r="D128" s="3"/>
      <c r="E128" s="3"/>
      <c r="F128" s="3"/>
      <c r="G128" s="3"/>
      <c r="H128" s="19"/>
      <c r="I128" s="3"/>
    </row>
    <row r="129" spans="1:9" ht="16" x14ac:dyDescent="0.2">
      <c r="A129" s="3"/>
      <c r="B129" s="3"/>
      <c r="C129" s="18">
        <f>C143</f>
        <v>294.79999999999995</v>
      </c>
      <c r="D129" s="12">
        <f>(D$125*(($A$20+$C129)*0.01))-(($C$35*$E$35*$B$131+$G$36+$G$37+$G$38+$G$42+$G$39+$G$40+$G$41+$G$43+$G$44+$G$45+$G$46+$G$47+$G$61)/$C$32)-((($C$35*$E$35*$B$131+$G$39+$G$40)*$C$21/365)+($G$36*($C$21+30)/365)+($G$42*(($C$21*0.67)/365))+(($G$37+$G$38+$G$41+$G$43+$G$44+$G$46+$G$47)*($C$21*0.5)/365))*$F$48/$C$32</f>
        <v>7.8715311120590599</v>
      </c>
      <c r="E129" s="12">
        <f>(E$125*(($A$20+$C129)*0.01))-(($C$35*$E$35*$B$131+$G$36+$G$37+$G$38+$G$42+$G$39+$G$40+$G$41+$G$43+$G$44+$G$45+$G$46+$G$47+$G$61)/$C$32)-((($C$35*$E$35*$B$131+$G$39+$G$40)*$C$21/365)+($G$36*($C$21+30)/365)+($G$42*(($C$21*0.67)/365))+(($G$37+$G$38+$G$41+$G$43+$G$44+$G$46+$G$47)*($C$21*0.5)/365))*$F$48/$C$32</f>
        <v>42.611531112058842</v>
      </c>
      <c r="F129" s="12">
        <f>(F$125*(($A$20+$C129)*0.01))-(($C$35*$E$35*$B$131+$G$36+$G$37+$G$38+$G$42+$G$39+$G$40+$G$41+$G$43+$G$44+$G$45+$G$46+$G$47+$G$61)/$C$32)-((($C$35*$E$35*$B$131+$G$39+$G$40)*$C$21/365)+($G$36*($C$21+30)/365)+($G$42*(($C$21*0.67)/365))+(($G$37+$G$38+$G$41+$G$43+$G$44+$G$46+$G$47)*($C$21*0.5)/365))*$F$48/$C$32</f>
        <v>77.351531112058851</v>
      </c>
      <c r="G129" s="12">
        <f>(G$125*(($A$20+$C129)*0.01))-(($C$35*$E$35*$B$131+$G$36+$G$37+$G$38+$G$42+$G$39+$G$40+$G$41+$G$43+$G$44+$G$45+$G$46+$G$47+$G$61)/$C$32)-((($C$35*$E$35*$B$131+$G$39+$G$40)*$C$21/365)+($G$36*($C$21+30)/365)+($G$42*(($C$21*0.67)/365))+(($G$37+$G$38+$G$41+$G$43+$G$44+$G$46+$G$47)*($C$21*0.5)/365))*$F$48/$C$32</f>
        <v>112.09153111205886</v>
      </c>
      <c r="H129" s="13">
        <f>(H$125*(($A$20+$C129)*0.01))-(($C$35*$E$35*$B$131+$G$36+$G$37+$G$38+$G$42+$G$39+$G$40+$G$41+$G$43+$G$44+$G$45+$G$46+$G$47+$G$61)/$C$32)-((($C$35*$E$35*$B$131+$G$39+$G$40)*$C$21/365)+($G$36*($C$21+30)/365)+($G$42*(($C$21*0.67)/365))+(($G$37+$G$38+$G$41+$G$43+$G$44+$G$46+$G$47)*($C$21*0.5)/365))*$F$48/$C$32</f>
        <v>146.83153111205888</v>
      </c>
      <c r="I129" s="12"/>
    </row>
    <row r="130" spans="1:9" ht="16" x14ac:dyDescent="0.2">
      <c r="A130" s="3"/>
      <c r="B130" s="3"/>
      <c r="C130" s="17"/>
      <c r="D130" s="12"/>
      <c r="E130" s="12"/>
      <c r="F130" s="12"/>
      <c r="G130" s="12"/>
      <c r="H130" s="13"/>
      <c r="I130" s="12"/>
    </row>
    <row r="131" spans="1:9" ht="16" x14ac:dyDescent="0.2">
      <c r="A131" s="3"/>
      <c r="B131" s="16">
        <f>B145-10</f>
        <v>263</v>
      </c>
      <c r="C131" s="18">
        <f>C145</f>
        <v>344.79999999999995</v>
      </c>
      <c r="D131" s="12">
        <f>(D$125*(($A$20+$C131)*0.01))-(($C$35*$E$35*$B$131+$G$36+$G$37+$G$38+$G$42+$G$39+$G$40+$G$41+$G$43+$G$44+$G$45+$G$46+$G$47+$G$61)/$C$32)-((($C$35*$E$35*$B$131+$G$39+$G$40)*$C$21/365)+($G$36*($C$21+30)/365)+($G$42*(($C$21*0.67)/365))+(($G$37+$G$38+$G$41+$G$43+$G$44+$G$46+$G$47)*($C$21*0.5)/365))*$F$48/$C$32</f>
        <v>125.23653111205907</v>
      </c>
      <c r="E131" s="12">
        <f>(E$125*(($A$20+$C131)*0.01))-(($C$35*$E$35*$B$131+$G$36+$G$37+$G$38+$G$42+$G$39+$G$40+$G$41+$G$43+$G$44+$G$45+$G$46+$G$47+$G$61)/$C$32)-((($C$35*$E$35*$B$131+$G$39+$G$40)*$C$21/365)+($G$36*($C$21+30)/365)+($G$42*(($C$21*0.67)/365))+(($G$37+$G$38+$G$41+$G$43+$G$44+$G$46+$G$47)*($C$21*0.5)/365))*$F$48/$C$32</f>
        <v>162.47653111205886</v>
      </c>
      <c r="F131" s="12">
        <f>(F$125*(($A$20+$C131)*0.01))-(($C$35*$E$35*$B$131+$G$36+$G$37+$G$38+$G$42+$G$39+$G$40+$G$41+$G$43+$G$44+$G$45+$G$46+$G$47+$G$61)/$C$32)-((($C$35*$E$35*$B$131+$G$39+$G$40)*$C$21/365)+($G$36*($C$21+30)/365)+($G$42*(($C$21*0.67)/365))+(($G$37+$G$38+$G$41+$G$43+$G$44+$G$46+$G$47)*($C$21*0.5)/365))*$F$48/$C$32</f>
        <v>199.71653111205887</v>
      </c>
      <c r="G131" s="12">
        <f>(G$125*(($A$20+$C131)*0.01))-(($C$35*$E$35*$B$131+$G$36+$G$37+$G$38+$G$42+$G$39+$G$40+$G$41+$G$43+$G$44+$G$45+$G$46+$G$47+$G$61)/$C$32)-((($C$35*$E$35*$B$131+$G$39+$G$40)*$C$21/365)+($G$36*($C$21+30)/365)+($G$42*(($C$21*0.67)/365))+(($G$37+$G$38+$G$41+$G$43+$G$44+$G$46+$G$47)*($C$21*0.5)/365))*$F$48/$C$32</f>
        <v>236.95653111205888</v>
      </c>
      <c r="H131" s="13">
        <f>(H$125*(($A$20+$C131)*0.01))-(($C$35*$E$35*$B$131+$G$36+$G$37+$G$38+$G$42+$G$39+$G$40+$G$41+$G$43+$G$44+$G$45+$G$46+$G$47+$G$61)/$C$32)-((($C$35*$E$35*$B$131+$G$39+$G$40)*$C$21/365)+($G$36*($C$21+30)/365)+($G$42*(($C$21*0.67)/365))+(($G$37+$G$38+$G$41+$G$43+$G$44+$G$46+$G$47)*($C$21*0.5)/365))*$F$48/$C$32</f>
        <v>274.19653111205889</v>
      </c>
      <c r="I131" s="12"/>
    </row>
    <row r="132" spans="1:9" ht="16" x14ac:dyDescent="0.2">
      <c r="A132" s="3"/>
      <c r="B132" s="16"/>
      <c r="C132" s="17"/>
      <c r="D132" s="12"/>
      <c r="E132" s="12"/>
      <c r="F132" s="12"/>
      <c r="G132" s="12"/>
      <c r="H132" s="13"/>
      <c r="I132" s="12"/>
    </row>
    <row r="133" spans="1:9" ht="16" x14ac:dyDescent="0.2">
      <c r="A133" s="3"/>
      <c r="B133" s="16"/>
      <c r="C133" s="18">
        <f>C147</f>
        <v>394.79999999999995</v>
      </c>
      <c r="D133" s="12">
        <f>(D$125*(($A$20+$C133)*0.01))-(($C$35*$E$35*$B$131+$G$36+$G$37+$G$38+$G$42+$G$39+$G$40+$G$41+$G$43+$G$44+$G$45+$G$46+$G$47+$G$61)/$C$32)-((($C$35*$E$35*$B$131+$G$39+$G$40)*$C$21/365)+($G$36*($C$21+30)/365)+($G$42*(($C$21*0.67)/365))+(($G$37+$G$38+$G$41+$G$43+$G$44+$G$46+$G$47)*($C$21*0.5)/365))*$F$48/$C$32</f>
        <v>242.60153111205909</v>
      </c>
      <c r="E133" s="12">
        <f>(E$125*(($A$20+$C133)*0.01))-(($C$35*$E$35*$B$131+$G$36+$G$37+$G$38+$G$42+$G$39+$G$40+$G$41+$G$43+$G$44+$G$45+$G$46+$G$47+$G$61)/$C$32)-((($C$35*$E$35*$B$131+$G$39+$G$40)*$C$21/365)+($G$36*($C$21+30)/365)+($G$42*(($C$21*0.67)/365))+(($G$37+$G$38+$G$41+$G$43+$G$44+$G$46+$G$47)*($C$21*0.5)/365))*$F$48/$C$32</f>
        <v>282.34153111205887</v>
      </c>
      <c r="F133" s="12">
        <f>(F$125*(($A$20+$C133)*0.01))-(($C$35*$E$35*$B$131+$G$36+$G$37+$G$38+$G$42+$G$39+$G$40+$G$41+$G$43+$G$44+$G$45+$G$46+$G$47+$G$61)/$C$32)-((($C$35*$E$35*$B$131+$G$39+$G$40)*$C$21/365)+($G$36*($C$21+30)/365)+($G$42*(($C$21*0.67)/365))+(($G$37+$G$38+$G$41+$G$43+$G$44+$G$46+$G$47)*($C$21*0.5)/365))*$F$48/$C$32</f>
        <v>322.08153111205888</v>
      </c>
      <c r="G133" s="12">
        <f>(G$125*(($A$20+$C133)*0.01))-(($C$35*$E$35*$B$131+$G$36+$G$37+$G$38+$G$42+$G$39+$G$40+$G$41+$G$43+$G$44+$G$45+$G$46+$G$47+$G$61)/$C$32)-((($C$35*$E$35*$B$131+$G$39+$G$40)*$C$21/365)+($G$36*($C$21+30)/365)+($G$42*(($C$21*0.67)/365))+(($G$37+$G$38+$G$41+$G$43+$G$44+$G$46+$G$47)*($C$21*0.5)/365))*$F$48/$C$32</f>
        <v>361.82153111205889</v>
      </c>
      <c r="H133" s="13">
        <f>(H$125*(($A$20+$C133)*0.01))-(($C$35*$E$35*$B$131+$G$36+$G$37+$G$38+$G$42+$G$39+$G$40+$G$41+$G$43+$G$44+$G$45+$G$46+$G$47+$G$61)/$C$32)-((($C$35*$E$35*$B$131+$G$39+$G$40)*$C$21/365)+($G$36*($C$21+30)/365)+($G$42*(($C$21*0.67)/365))+(($G$37+$G$38+$G$41+$G$43+$G$44+$G$46+$G$47)*($C$21*0.5)/365))*$F$48/$C$32</f>
        <v>401.5615311120589</v>
      </c>
      <c r="I133" s="12"/>
    </row>
    <row r="134" spans="1:9" ht="16" x14ac:dyDescent="0.2">
      <c r="A134" s="3"/>
      <c r="B134" s="16"/>
      <c r="C134" s="17"/>
      <c r="D134" s="3"/>
      <c r="E134" s="3"/>
      <c r="F134" s="3"/>
      <c r="G134" s="3"/>
      <c r="H134" s="19"/>
      <c r="I134" s="3"/>
    </row>
    <row r="135" spans="1:9" ht="16" x14ac:dyDescent="0.2">
      <c r="A135" s="3"/>
      <c r="B135" s="16"/>
      <c r="C135" s="17"/>
      <c r="D135" s="3"/>
      <c r="E135" s="3"/>
      <c r="F135" s="3"/>
      <c r="G135" s="3"/>
      <c r="H135" s="19"/>
      <c r="I135" s="3"/>
    </row>
    <row r="136" spans="1:9" ht="16" x14ac:dyDescent="0.2">
      <c r="A136" s="3"/>
      <c r="B136" s="16"/>
      <c r="C136" s="18">
        <f>C143</f>
        <v>294.79999999999995</v>
      </c>
      <c r="D136" s="12">
        <f>(D$125*(($A$20+$C136)*0.01))-(($C$35*$E$35*$B$138+$G$36+$G$37+$G$38+$G$42+$G$39+$G$40+$G$41+$G$43+$G$44+$G$45+$G$46+$G$47+$G$61)/$C$32)-((($C$35*$E$35*$B$138+$G$39+$G$40)*$C$21/365)+($G$36*($C$21+30)/365)+($G$42*(($C$21*0.67)/365))+(($G$37+$G$38+$G$41+$G$43+$G$44+$G$46+$G$47)*($C$21*0.5)/365))*$F$48/$C$32</f>
        <v>-13.359023798551576</v>
      </c>
      <c r="E136" s="12">
        <f>(E$125*(($A$20+$C136)*0.01))-(($C$35*$E$35*$B$138+$G$36+$G$37+$G$38+$G$42+$G$39+$G$40+$G$41+$G$43+$G$44+$G$45+$G$46+$G$47+$G$61)/$C$32)-((($C$35*$E$35*$B$138+$G$39+$G$40)*$C$21/365)+($G$36*($C$21+30)/365)+($G$42*(($C$21*0.67)/365))+(($G$37+$G$38+$G$41+$G$43+$G$44+$G$46+$G$47)*($C$21*0.5)/365))*$F$48/$C$32</f>
        <v>21.380976201448206</v>
      </c>
      <c r="F136" s="12">
        <f>(F$125*(($A$20+$C136)*0.01))-(($C$35*$E$35*$B$138+$G$36+$G$37+$G$38+$G$42+$G$39+$G$40+$G$41+$G$43+$G$44+$G$45+$G$46+$G$47+$G$61)/$C$32)-((($C$35*$E$35*$B$138+$G$39+$G$40)*$C$21/365)+($G$36*($C$21+30)/365)+($G$42*(($C$21*0.67)/365))+(($G$37+$G$38+$G$41+$G$43+$G$44+$G$46+$G$47)*($C$21*0.5)/365))*$F$48/$C$32</f>
        <v>56.120976201448215</v>
      </c>
      <c r="G136" s="12">
        <f>(G$125*(($A$20+$C136)*0.01))-(($C$35*$E$35*$B$138+$G$36+$G$37+$G$38+$G$42+$G$39+$G$40+$G$41+$G$43+$G$44+$G$45+$G$46+$G$47+$G$61)/$C$32)-((($C$35*$E$35*$B$138+$G$39+$G$40)*$C$21/365)+($G$36*($C$21+30)/365)+($G$42*(($C$21*0.67)/365))+(($G$37+$G$38+$G$41+$G$43+$G$44+$G$46+$G$47)*($C$21*0.5)/365))*$F$48/$C$32</f>
        <v>90.860976201448224</v>
      </c>
      <c r="H136" s="13">
        <f>(H$125*(($A$20+$C136)*0.01))-(($C$35*$E$35*$B$138+$G$36+$G$37+$G$38+$G$42+$G$39+$G$40+$G$41+$G$43+$G$44+$G$45+$G$46+$G$47+$G$61)/$C$32)-((($C$35*$E$35*$B$138+$G$39+$G$40)*$C$21/365)+($G$36*($C$21+30)/365)+($G$42*(($C$21*0.67)/365))+(($G$37+$G$38+$G$41+$G$43+$G$44+$G$46+$G$47)*($C$21*0.5)/365))*$F$48/$C$32</f>
        <v>125.60097620144823</v>
      </c>
      <c r="I136" s="12"/>
    </row>
    <row r="137" spans="1:9" ht="16" x14ac:dyDescent="0.2">
      <c r="A137" s="3"/>
      <c r="B137" s="16"/>
      <c r="C137" s="17"/>
      <c r="D137" s="3"/>
      <c r="E137" s="3"/>
      <c r="F137" s="3"/>
      <c r="G137" s="3"/>
      <c r="H137" s="19"/>
      <c r="I137" s="3"/>
    </row>
    <row r="138" spans="1:9" ht="16" x14ac:dyDescent="0.2">
      <c r="A138" s="3"/>
      <c r="B138" s="16">
        <f>B145-5</f>
        <v>268</v>
      </c>
      <c r="C138" s="18">
        <f>C145</f>
        <v>344.79999999999995</v>
      </c>
      <c r="D138" s="12">
        <f>(D$125*(($A$20+$C138)*0.01))-(($C$35*$E$35*$B$138+$G$36+$G$37+$G$38+$G$42+$G$39+$G$41+$G$43+$G$44+$G$45+$G$46+$G$47+$G$61)/$C$32)-((($C$35*$E$35*$B$138+$G$39)*$C$21/365)+($G$36*($C$21+30)/365)+($G$42*(($C$21*0.67)/365))+(($G$37+$G$38+$G$46+$G$47)*($C$21*0.5)/365))*$F$48/$C$32</f>
        <v>130.51853714874352</v>
      </c>
      <c r="E138" s="12">
        <f>(E$125*(($A$20+$C138)*0.01))-(($C$35*$E$35*$B$138+$G$36+$G$37+$G$38+$G$42+$G$39+$G$41+$G$43+$G$44+$G$45+$G$46+$G$47+$G$61)/$C$32)-((($C$35*$E$35*$B$138+$G$39)*$C$21/365)+($G$36*($C$21+30)/365)+($G$42*(($C$21*0.67)/365))+(($G$37+$G$38+$G$46+$G$47)*($C$21*0.5)/365))*$F$48/$C$32</f>
        <v>167.7585371487433</v>
      </c>
      <c r="F138" s="12">
        <f>(F$125*(($A$20+$C138)*0.01))-(($C$35*$E$35*$B$138+$G$36+$G$37+$G$38+$G$42+$G$39+$G$41+$G$43+$G$44+$G$45+$G$46+$G$47+$G$61)/$C$32)-((($C$35*$E$35*$B$138+$G$39)*$C$21/365)+($G$36*($C$21+30)/365)+($G$42*(($C$21*0.67)/365))+(($G$37+$G$38+$G$46+$G$47)*($C$21*0.5)/365))*$F$48/$C$32</f>
        <v>204.99853714874331</v>
      </c>
      <c r="G138" s="12">
        <f>(G$125*(($A$20+$C138)*0.01))-(($C$35*$E$35*$B$138+$G$36+$G$37+$G$38+$G$42+$G$39+$G$41+$G$43+$G$44+$G$45+$G$46+$G$47+$G$61)/$C$32)-((($C$35*$E$35*$B$138+$G$39)*$C$21/365)+($G$36*($C$21+30)/365)+($G$42*(($C$21*0.67)/365))+(($G$37+$G$38+$G$46+$G$47)*($C$21*0.5)/365))*$F$48/$C$32</f>
        <v>242.23853714874332</v>
      </c>
      <c r="H138" s="13">
        <f>(H$125*(($A$20+$C138)*0.01))-(($C$35*$E$35*$B$138+$G$36+$G$37+$G$38+$G$42+$G$39+$G$41+$G$43+$G$44+$G$45+$G$46+$G$47+$G$61)/$C$32)-((($C$35*$E$35*$B$138+$G$39)*$C$21/365)+($G$36*($C$21+30)/365)+($G$42*(($C$21*0.67)/365))+(($G$37+$G$38+$G$46+$G$47)*($C$21*0.5)/365))*$F$48/$C$32</f>
        <v>279.47853714874333</v>
      </c>
      <c r="I138" s="12"/>
    </row>
    <row r="139" spans="1:9" ht="16" x14ac:dyDescent="0.2">
      <c r="A139" s="3"/>
      <c r="B139" s="16"/>
      <c r="C139" s="17"/>
      <c r="D139" s="3"/>
      <c r="E139" s="3"/>
      <c r="F139" s="3"/>
      <c r="G139" s="3"/>
      <c r="H139" s="19"/>
      <c r="I139" s="3"/>
    </row>
    <row r="140" spans="1:9" ht="16" x14ac:dyDescent="0.2">
      <c r="A140" s="3"/>
      <c r="B140" s="16"/>
      <c r="C140" s="18">
        <f>C147</f>
        <v>394.79999999999995</v>
      </c>
      <c r="D140" s="12">
        <f>(D$125*(($A$20+$C140)*0.01))-(($C$35*$E$35*$B$138+$G$36+$G$37+$G$38+$G$42+$G$39+$G$41+$G$43+$G$44+$G$45+$G$46+$G$47+$G$61)/$C$32)-((($C$35*$E$35*$B$138+$G$39)*$C$21/365)+($G$36*($C$21+30)/365)+($G$42*(($C$21*0.67)/365))+(($G$37+$G$38+$G$46+$G$47)*($C$21*0.5)/365))*$F$48/$C$32</f>
        <v>247.88353714874353</v>
      </c>
      <c r="E140" s="12">
        <f>(E$125*(($A$20+$C140)*0.01))-(($C$35*$E$35*$B$138+$G$36+$G$37+$G$38+$G$42+$G$39+$G$41+$G$43+$G$44+$G$45+$G$46+$G$47+$G$61)/$C$32)-((($C$35*$E$35*$B$138+$G$39)*$C$21/365)+($G$36*($C$21+30)/365)+($G$42*(($C$21*0.67)/365))+(($G$37+$G$38+$G$46+$G$47)*($C$21*0.5)/365))*$F$48/$C$32</f>
        <v>287.62353714874331</v>
      </c>
      <c r="F140" s="12">
        <f>(F$125*(($A$20+$C140)*0.01))-(($C$35*$E$35*$B$138+$G$36+$G$37+$G$38+$G$42+$G$39+$G$41+$G$43+$G$44+$G$45+$G$46+$G$47+$G$61)/$C$32)-((($C$35*$E$35*$B$138+$G$39)*$C$21/365)+($G$36*($C$21+30)/365)+($G$42*(($C$21*0.67)/365))+(($G$37+$G$38+$G$46+$G$47)*($C$21*0.5)/365))*$F$48/$C$32</f>
        <v>327.36353714874332</v>
      </c>
      <c r="G140" s="12">
        <f>(G$125*(($A$20+$C140)*0.01))-(($C$35*$E$35*$B$138+$G$36+$G$37+$G$38+$G$42+$G$39+$G$41+$G$43+$G$44+$G$45+$G$46+$G$47+$G$61)/$C$32)-((($C$35*$E$35*$B$138+$G$39)*$C$21/365)+($G$36*($C$21+30)/365)+($G$42*(($C$21*0.67)/365))+(($G$37+$G$38+$G$46+$G$47)*($C$21*0.5)/365))*$F$48/$C$32</f>
        <v>367.10353714874333</v>
      </c>
      <c r="H140" s="13">
        <f>(H$125*(($A$20+$C140)*0.01))-(($C$35*$E$35*$B$138+$G$36+$G$37+$G$38+$G$42+$G$39+$G$41+$G$43+$G$44+$G$45+$G$46+$G$47+$G$61)/$C$32)-((($C$35*$E$35*$B$138+$G$39)*$C$21/365)+($G$36*($C$21+30)/365)+($G$42*(($C$21*0.67)/365))+(($G$37+$G$38+$G$46+$G$47)*($C$21*0.5)/365))*$F$48/$C$32</f>
        <v>406.84353714874334</v>
      </c>
      <c r="I140" s="12"/>
    </row>
    <row r="141" spans="1:9" ht="16" x14ac:dyDescent="0.2">
      <c r="A141" s="3"/>
      <c r="B141" s="16"/>
      <c r="C141" s="17"/>
      <c r="D141" s="3"/>
      <c r="E141" s="3"/>
      <c r="F141" s="3"/>
      <c r="G141" s="3"/>
      <c r="H141" s="19"/>
      <c r="I141" s="3"/>
    </row>
    <row r="142" spans="1:9" ht="16" x14ac:dyDescent="0.2">
      <c r="A142" s="3"/>
      <c r="B142" s="16"/>
      <c r="C142" s="17"/>
      <c r="D142" s="3"/>
      <c r="E142" s="3"/>
      <c r="F142" s="3"/>
      <c r="G142" s="3"/>
      <c r="H142" s="19"/>
      <c r="I142" s="3"/>
    </row>
    <row r="143" spans="1:9" ht="16" x14ac:dyDescent="0.2">
      <c r="A143" s="3"/>
      <c r="B143" s="16"/>
      <c r="C143" s="20">
        <f>+C145-50</f>
        <v>294.79999999999995</v>
      </c>
      <c r="D143" s="12">
        <f>(D$125*(($A$20+$C143)*0.01))-(($C$35*$E$35*$B$145+$G$36+$G$37+$G$38+$G$42+$G$39+$G$40+$G$41+$G$43+$G$44+$G$45+$G$46+$G$47+$G$61)/$C$32)-((($C$35*$E$35*$B$145+$G$39+$G$40)*$C$21/365)+($G$36*($C$21+30)/365)+($G$42*(($C$21*0.67)/365))+(($G$37+$G$38+$G$41+$G$43+$G$44+$G$46+$G$47)*($C$21*0.5)/365))*$F$48/$C$32</f>
        <v>-34.58957870916219</v>
      </c>
      <c r="E143" s="12">
        <f>(E$125*(($A$20+$C143)*0.01))-(($C$35*$E$35*$B$145+$G$36+$G$37+$G$38+$G$42+$G$39+$G$40+$G$41+$G$43+$G$44+$G$45+$G$46+$G$47+$G$61)/$C$32)-((($C$35*$E$35*$B$145+$G$39+$G$40)*$C$21/365)+($G$36*($C$21+30)/365)+($G$42*(($C$21*0.67)/365))+(($G$37+$G$38+$G$41+$G$43+$G$44+$G$46+$G$47)*($C$21*0.5)/365))*$F$48/$C$32</f>
        <v>0.15042129083759193</v>
      </c>
      <c r="F143" s="12">
        <f>(F$125*(($A$20+$C143)*0.01))-(($C$35*$E$35*$B$145+$G$36+$G$37+$G$38+$G$42+$G$39+$G$40+$G$41+$G$43+$G$44+$G$45+$G$46+$G$47+$G$61)/$C$32)-((($C$35*$E$35*$B$145+$G$39+$G$40)*$C$21/365)+($G$36*($C$21+30)/365)+($G$42*(($C$21*0.67)/365))+(($G$37+$G$38+$G$41+$G$43+$G$44+$G$46+$G$47)*($C$21*0.5)/365))*$F$48/$C$32</f>
        <v>34.890421290837601</v>
      </c>
      <c r="G143" s="12">
        <f>(G$125*(($A$20+$C143)*0.01))-(($C$35*$E$35*$B$145+$G$36+$G$37+$G$38+$G$42+$G$39+$G$40+$G$41+$G$43+$G$44+$G$45+$G$46+$G$47+$G$61)/$C$32)-((($C$35*$E$35*$B$145+$G$39+$G$40)*$C$21/365)+($G$36*($C$21+30)/365)+($G$42*(($C$21*0.67)/365))+(($G$37+$G$38+$G$41+$G$43+$G$44+$G$46+$G$47)*($C$21*0.5)/365))*$F$48/$C$32</f>
        <v>69.630421290837603</v>
      </c>
      <c r="H143" s="13">
        <f>(H$125*(($A$20+$C143)*0.01))-(($C$35*$E$35*$B$145+$G$36+$G$37+$G$38+$G$42+$G$39+$G$40+$G$41+$G$43+$G$44+$G$45+$G$46+$G$47+$G$61)/$C$32)-((($C$35*$E$35*$B$145+$G$39+$G$40)*$C$21/365)+($G$36*($C$21+30)/365)+($G$42*(($C$21*0.67)/365))+(($G$37+$G$38+$G$41+$G$43+$G$44+$G$46+$G$47)*($C$21*0.5)/365))*$F$48/$C$32</f>
        <v>104.37042129083761</v>
      </c>
      <c r="I143" s="12"/>
    </row>
    <row r="144" spans="1:9" ht="17" thickBot="1" x14ac:dyDescent="0.25">
      <c r="A144" s="3"/>
      <c r="B144" s="16"/>
      <c r="C144" s="17"/>
      <c r="D144" s="3"/>
      <c r="E144" s="3"/>
      <c r="F144" s="3"/>
      <c r="G144" s="3"/>
      <c r="H144" s="19"/>
      <c r="I144" s="3"/>
    </row>
    <row r="145" spans="1:9" ht="17" thickBot="1" x14ac:dyDescent="0.25">
      <c r="A145" s="3"/>
      <c r="B145" s="16">
        <f>F35</f>
        <v>273</v>
      </c>
      <c r="C145" s="20">
        <f>C24-A20</f>
        <v>344.79999999999995</v>
      </c>
      <c r="D145" s="12">
        <f>(D$125*(($A$20+$C145)*0.01))-(($C$35*$E$35*$B$145+$G$36+$G$37+$G$38+$G$42+$G$39+$G$40+$G$41+$G$43+$G$44+$G$45+$G$46+$G$47+$G$61)/$C$32)-((($C$35*$E$35*$B$145+$G$39+$G$40)*$C$21/365)+($G$36*($C$21+30)/365)+($G$42*(($C$21*0.67)/365))+(($G$37+$G$38+$G$41+$G$43+$G$44+$G$46+$G$47)*($C$21*0.5)/365))*$F$48/$C$32</f>
        <v>82.775421290837812</v>
      </c>
      <c r="E145" s="12">
        <f>(E$125*(($A$20+$C145)*0.01))-(($C$35*$E$35*$B$145+$G$36+$G$37+$G$38+$G$42+$G$39+$G$40+$G$41+$G$43+$G$44+$G$45+$G$46+$G$47+$G$61)/$C$32)-((($C$35*$E$35*$B$145+$G$39+$G$40)*$C$21/365)+($G$36*($C$21+30)/365)+($G$42*(($C$21*0.67)/365))+(($G$37+$G$38+$G$41+$G$43+$G$44+$G$46+$G$47)*($C$21*0.5)/365))*$F$48/$C$32</f>
        <v>120.01542129083759</v>
      </c>
      <c r="F145" s="21">
        <f>(F$125*(($A$20+$C145)*0.01))-(($C$35*$E$35*$B$145+$G$36+$G$37+$G$38+$G$42+$G$39+$G$40+$G$41+$G$43+$G$44+$G$45+$G$46+$G$47+$G$61)/$C$32)-((($C$35*$E$35*$B$145+$G$39+$G$40)*$C$21/365)+($G$36*($C$21+30)/365)+($G$42*(($C$21*0.67)/365))+(($G$37+$G$38+$G$41+$G$43+$G$44+$G$46+$G$47)*($C$21*0.5)/365))*$F$48/$C$32</f>
        <v>157.2554212908376</v>
      </c>
      <c r="G145" s="12">
        <f>(G$125*(($A$20+$C145)*0.01))-(($C$35*$E$35*$B$145+$G$36+$G$37+$G$38+$G$42+$G$39+$G$40+$G$41+$G$43+$G$44+$G$45+$G$46+$G$47+$G$61)/$C$32)-((($C$35*$E$35*$B$145+$G$39+$G$40)*$C$21/365)+($G$36*($C$21+30)/365)+($G$42*(($C$21*0.67)/365))+(($G$37+$G$38+$G$41+$G$43+$G$44+$G$46+$G$47)*($C$21*0.5)/365))*$F$48/$C$32</f>
        <v>194.49542129083761</v>
      </c>
      <c r="H145" s="13">
        <f>(H$125*(($A$20+$C145)*0.01))-(($C$35*$E$35*$B$145+$G$36+$G$37+$G$38+$G$42+$G$39+$G$40+$G$41+$G$43+$G$44+$G$45+$G$46+$G$47+$G$61)/$C$32)-((($C$35*$E$35*$B$145+$G$39+$G$40)*$C$21/365)+($G$36*($C$21+30)/365)+($G$42*(($C$21*0.67)/365))+(($G$37+$G$38+$G$41+$G$43+$G$44+$G$46+$G$47)*($C$21*0.5)/365))*$F$48/$C$32</f>
        <v>231.73542129083762</v>
      </c>
      <c r="I145" s="12"/>
    </row>
    <row r="146" spans="1:9" ht="16" x14ac:dyDescent="0.2">
      <c r="A146" s="3"/>
      <c r="B146" s="16"/>
      <c r="C146" s="17"/>
      <c r="D146" s="3"/>
      <c r="E146" s="3"/>
      <c r="F146" s="3"/>
      <c r="G146" s="3"/>
      <c r="H146" s="19"/>
      <c r="I146" s="3"/>
    </row>
    <row r="147" spans="1:9" ht="16" x14ac:dyDescent="0.2">
      <c r="A147" s="3"/>
      <c r="B147" s="16"/>
      <c r="C147" s="20">
        <f>C145+50</f>
        <v>394.79999999999995</v>
      </c>
      <c r="D147" s="12">
        <f>(D$125*(($A$20+$C147)*0.01))-(($C$35*$E$35*$B$145+$G$36+$G$37+$G$38+$G$42+$G$39+$G$40+$G$41+$G$43+$G$44+$G$45+$G$46+$G$47+$G$61)/$C$32)-((($C$35*$E$35*$B$145+$G$39+$G$40)*$C$21/365)+($G$36*($C$21+30)/365)+($G$42*(($C$21*0.67)/365))+(($G$37+$G$38+$G$41+$G$43+$G$44+$G$46+$G$47)*($C$21*0.5)/365))*$F$48/$C$32</f>
        <v>200.14042129083782</v>
      </c>
      <c r="E147" s="12">
        <f>(E$125*(($A$20+$C147)*0.01))-(($C$35*$E$35*$B$145+$G$36+$G$37+$G$38+$G$42+$G$39+$G$40+$G$41+$G$43+$G$44+$G$45+$G$46+$G$47+$G$61)/$C$32)-((($C$35*$E$35*$B$145+$G$39+$G$40)*$C$21/365)+($G$36*($C$21+30)/365)+($G$42*(($C$21*0.67)/365))+(($G$37+$G$38+$G$41+$G$43+$G$44+$G$46+$G$47)*($C$21*0.5)/365))*$F$48/$C$32</f>
        <v>239.8804212908376</v>
      </c>
      <c r="F147" s="12">
        <f>(F$125*(($A$20+$C147)*0.01))-(($C$35*$E$35*$B$145+$G$36+$G$37+$G$38+$G$42+$G$39+$G$40+$G$41+$G$43+$G$44+$G$45+$G$46+$G$47+$G$61)/$C$32)-((($C$35*$E$35*$B$145+$G$39+$G$40)*$C$21/365)+($G$36*($C$21+30)/365)+($G$42*(($C$21*0.67)/365))+(($G$37+$G$38+$G$41+$G$43+$G$44+$G$46+$G$47)*($C$21*0.5)/365))*$F$48/$C$32</f>
        <v>279.62042129083761</v>
      </c>
      <c r="G147" s="12">
        <f>(G$125*(($A$20+$C147)*0.01))-(($C$35*$E$35*$B$145+$G$36+$G$37+$G$38+$G$42+$G$39+$G$40+$G$41+$G$43+$G$44+$G$45+$G$46+$G$47+$G$61)/$C$32)-((($C$35*$E$35*$B$145+$G$39+$G$40)*$C$21/365)+($G$36*($C$21+30)/365)+($G$42*(($C$21*0.67)/365))+(($G$37+$G$38+$G$41+$G$43+$G$44+$G$46+$G$47)*($C$21*0.5)/365))*$F$48/$C$32</f>
        <v>319.36042129083762</v>
      </c>
      <c r="H147" s="13">
        <f>(H$125*(($A$20+$C147)*0.01))-(($C$35*$E$35*$B$145+$G$36+$G$37+$G$38+$G$42+$G$39+$G$40+$G$41+$G$43+$G$44+$G$45+$G$46+$G$47+$G$61)/$C$32)-((($C$35*$E$35*$B$145+$G$39+$G$40)*$C$21/365)+($G$36*($C$21+30)/365)+($G$42*(($C$21*0.67)/365))+(($G$37+$G$38+$G$41+$G$43+$G$44+$G$46+$G$47)*($C$21*0.5)/365))*$F$48/$C$32</f>
        <v>359.10042129083763</v>
      </c>
      <c r="I147" s="12"/>
    </row>
    <row r="148" spans="1:9" ht="16" x14ac:dyDescent="0.2">
      <c r="A148" s="3"/>
      <c r="B148" s="16"/>
      <c r="C148" s="17"/>
      <c r="D148" s="3"/>
      <c r="E148" s="3"/>
      <c r="F148" s="3"/>
      <c r="G148" s="3"/>
      <c r="H148" s="19"/>
      <c r="I148" s="3"/>
    </row>
    <row r="149" spans="1:9" ht="16" x14ac:dyDescent="0.2">
      <c r="A149" s="3"/>
      <c r="B149" s="16"/>
      <c r="C149" s="17"/>
      <c r="D149" s="3"/>
      <c r="E149" s="3"/>
      <c r="F149" s="3"/>
      <c r="G149" s="3"/>
      <c r="H149" s="19"/>
      <c r="I149" s="3"/>
    </row>
    <row r="150" spans="1:9" ht="16" x14ac:dyDescent="0.2">
      <c r="A150" s="3"/>
      <c r="B150" s="16"/>
      <c r="C150" s="18">
        <f>C143</f>
        <v>294.79999999999995</v>
      </c>
      <c r="D150" s="12">
        <f>(D$125*(($A$20+$C150)*0.01))-(($C$35*$E$35*$B$152+$G$36+$G$37+$G$38+$G$42+$G$39+$G$40+$G$41+$G$43+$G$44+$G$45+$G$46+$G$47+$G$61)/$C$32)-((($C$35*$E$35*$B$152+$G$39+$G$40)*$C$21/365)+($G$36*($C$21+30)/365)+($G$42*(($C$21*0.67)/365))+(($G$37+$G$38+$G$41+$G$43+$G$44+$G$46+$G$47)*($C$21*0.5)/365))*$F$48/$C$32</f>
        <v>-55.820133619772811</v>
      </c>
      <c r="E150" s="12">
        <f>(E$125*(($A$20+$C150)*0.01))-(($C$35*$E$35*$B$152+$G$36+$G$37+$G$38+$G$42+$G$39+$G$40+$G$41+$G$43+$G$44+$G$45+$G$46+$G$47+$G$61)/$C$32)-((($C$35*$E$35*$B$152+$G$39+$G$40)*$C$21/365)+($G$36*($C$21+30)/365)+($G$42*(($C$21*0.67)/365))+(($G$37+$G$38+$G$41+$G$43+$G$44+$G$46+$G$47)*($C$21*0.5)/365))*$F$48/$C$32</f>
        <v>-21.080133619773029</v>
      </c>
      <c r="F150" s="12">
        <f>(F$125*(($A$20+$C150)*0.01))-(($C$35*$E$35*$B$152+$G$36+$G$37+$G$38+$G$42+$G$39+$G$40+$G$41+$G$43+$G$44+$G$45+$G$46+$G$47+$G$61)/$C$32)-((($C$35*$E$35*$B$152+$G$39+$G$40)*$C$21/365)+($G$36*($C$21+30)/365)+($G$42*(($C$21*0.67)/365))+(($G$37+$G$38+$G$41+$G$43+$G$44+$G$46+$G$47)*($C$21*0.5)/365))*$F$48/$C$32</f>
        <v>13.65986638022698</v>
      </c>
      <c r="G150" s="12">
        <f>(G$125*(($A$20+$C150)*0.01))-(($C$35*$E$35*$B$152+$G$36+$G$37+$G$38+$G$42+$G$39+$G$40+$G$41+$G$43+$G$44+$G$45+$G$46+$G$47+$G$61)/$C$32)-((($C$35*$E$35*$B$152+$G$39+$G$40)*$C$21/365)+($G$36*($C$21+30)/365)+($G$42*(($C$21*0.67)/365))+(($G$37+$G$38+$G$41+$G$43+$G$44+$G$46+$G$47)*($C$21*0.5)/365))*$F$48/$C$32</f>
        <v>48.399866380226989</v>
      </c>
      <c r="H150" s="13">
        <f>(H$125*(($A$20+$C150)*0.01))-(($C$35*$E$35*$B$152+$G$36+$G$37+$G$38+$G$42+$G$39+$G$40+$G$41+$G$43+$G$44+$G$45+$G$46+$G$47+$G$61)/$C$32)-((($C$35*$E$35*$B$152+$G$39+$G$40)*$C$21/365)+($G$36*($C$21+30)/365)+($G$42*(($C$21*0.67)/365))+(($G$37+$G$38+$G$41+$G$43+$G$44+$G$46+$G$47)*($C$21*0.5)/365))*$F$48/$C$32</f>
        <v>83.139866380227005</v>
      </c>
      <c r="I150" s="12"/>
    </row>
    <row r="151" spans="1:9" ht="16" x14ac:dyDescent="0.2">
      <c r="A151" s="3"/>
      <c r="B151" s="16"/>
      <c r="C151" s="17"/>
      <c r="D151" s="12"/>
      <c r="E151" s="12"/>
      <c r="F151" s="12"/>
      <c r="G151" s="12"/>
      <c r="H151" s="13"/>
      <c r="I151" s="12"/>
    </row>
    <row r="152" spans="1:9" ht="16" x14ac:dyDescent="0.2">
      <c r="A152" s="3"/>
      <c r="B152" s="16">
        <f>B145+5</f>
        <v>278</v>
      </c>
      <c r="C152" s="18">
        <f>C145</f>
        <v>344.79999999999995</v>
      </c>
      <c r="D152" s="12">
        <f>(D$125*(($A$20+$C152)*0.01))-(($C$35*$E$35*$B$152+$G$36+$G$37+$G$38+$G$42+$G$39+$G$40+$G$41+$G$43+$G$44+$G$45+$G$46+$G$47+$G$61)/$C$32)-((($C$35*$E$35*$B$152+$G$39+$G$40)*$C$21/365)+($G$36*($C$21+30)/365)+($G$42*(($C$21*0.67)/365))+(($G$37+$G$38+$G$41+$G$43+$G$44+$G$46+$G$47)*($C$21*0.5)/365))*$F$48/$C$32</f>
        <v>61.544866380227198</v>
      </c>
      <c r="E152" s="12">
        <f>(E$125*(($A$20+$C152)*0.01))-(($C$35*$E$35*$B$152+$G$36+$G$37+$G$38+$G$42+$G$39+$G$40+$G$41+$G$43+$G$44+$G$45+$G$46+$G$47+$G$61)/$C$32)-((($C$35*$E$35*$B$152+$G$39+$G$40)*$C$21/365)+($G$36*($C$21+30)/365)+($G$42*(($C$21*0.67)/365))+(($G$37+$G$38+$G$41+$G$43+$G$44+$G$46+$G$47)*($C$21*0.5)/365))*$F$48/$C$32</f>
        <v>98.784866380226987</v>
      </c>
      <c r="F152" s="12">
        <f>(F$125*(($A$20+$C152)*0.01))-(($C$35*$E$35*$B$152+$G$36+$G$37+$G$38+$G$42+$G$39+$G$40+$G$41+$G$43+$G$44+$G$45+$G$46+$G$47+$G$61)/$C$32)-((($C$35*$E$35*$B$152+$G$39+$G$40)*$C$21/365)+($G$36*($C$21+30)/365)+($G$42*(($C$21*0.67)/365))+(($G$37+$G$38+$G$41+$G$43+$G$44+$G$46+$G$47)*($C$21*0.5)/365))*$F$48/$C$32</f>
        <v>136.024866380227</v>
      </c>
      <c r="G152" s="12">
        <f>(G$125*(($A$20+$C152)*0.01))-(($C$35*$E$35*$B$152+$G$36+$G$37+$G$38+$G$42+$G$39+$G$40+$G$41+$G$43+$G$44+$G$45+$G$46+$G$47+$G$61)/$C$32)-((($C$35*$E$35*$B$152+$G$39+$G$40)*$C$21/365)+($G$36*($C$21+30)/365)+($G$42*(($C$21*0.67)/365))+(($G$37+$G$38+$G$41+$G$43+$G$44+$G$46+$G$47)*($C$21*0.5)/365))*$F$48/$C$32</f>
        <v>173.26486638022701</v>
      </c>
      <c r="H152" s="13">
        <f>(H$125*(($A$20+$C152)*0.01))-(($C$35*$E$35*$B$152+$G$36+$G$37+$G$38+$G$42+$G$39+$G$40+$G$41+$G$43+$G$44+$G$45+$G$46+$G$47+$G$61)/$C$32)-((($C$35*$E$35*$B$152+$G$39+$G$40)*$C$21/365)+($G$36*($C$21+30)/365)+($G$42*(($C$21*0.67)/365))+(($G$37+$G$38+$G$41+$G$43+$G$44+$G$46+$G$47)*($C$21*0.5)/365))*$F$48/$C$32</f>
        <v>210.50486638022701</v>
      </c>
      <c r="I152" s="12"/>
    </row>
    <row r="153" spans="1:9" ht="16" x14ac:dyDescent="0.2">
      <c r="A153" s="3"/>
      <c r="B153" s="16"/>
      <c r="C153" s="17"/>
      <c r="D153" s="12"/>
      <c r="E153" s="12"/>
      <c r="F153" s="12"/>
      <c r="G153" s="12"/>
      <c r="H153" s="13"/>
      <c r="I153" s="12"/>
    </row>
    <row r="154" spans="1:9" ht="16" x14ac:dyDescent="0.2">
      <c r="A154" s="3"/>
      <c r="B154" s="16"/>
      <c r="C154" s="18">
        <f>C147</f>
        <v>394.79999999999995</v>
      </c>
      <c r="D154" s="12">
        <f>(D$125*(($A$20+$C154)*0.01))-(($C$35*$E$35*$B$152+$G$36+$G$37+$G$38+$G$42+$G$39+$G$40+$G$41+$G$43+$G$44+$G$45+$G$46+$G$47+$G$61)/$C$32)-((($C$35*$E$35*$B$152+$G$39+$G$40)*$C$21/365)+($G$36*($C$21+30)/365)+($G$42*(($C$21*0.67)/365))+(($G$37+$G$38+$G$41+$G$43+$G$44+$G$46+$G$47)*($C$21*0.5)/365))*$F$48/$C$32</f>
        <v>178.90986638022721</v>
      </c>
      <c r="E154" s="12">
        <f>(E$125*(($A$20+$C154)*0.01))-(($C$35*$E$35*$B$152+$G$36+$G$37+$G$38+$G$42+$G$39+$G$40+$G$41+$G$43+$G$44+$G$45+$G$46+$G$47+$G$61)/$C$32)-((($C$35*$E$35*$B$152+$G$39+$G$40)*$C$21/365)+($G$36*($C$21+30)/365)+($G$42*(($C$21*0.67)/365))+(($G$37+$G$38+$G$41+$G$43+$G$44+$G$46+$G$47)*($C$21*0.5)/365))*$F$48/$C$32</f>
        <v>218.649866380227</v>
      </c>
      <c r="F154" s="12">
        <f>(F$125*(($A$20+$C154)*0.01))-(($C$35*$E$35*$B$152+$G$36+$G$37+$G$38+$G$42+$G$39+$G$40+$G$41+$G$43+$G$44+$G$45+$G$46+$G$47+$G$61)/$C$32)-((($C$35*$E$35*$B$152+$G$39+$G$40)*$C$21/365)+($G$36*($C$21+30)/365)+($G$42*(($C$21*0.67)/365))+(($G$37+$G$38+$G$41+$G$43+$G$44+$G$46+$G$47)*($C$21*0.5)/365))*$F$48/$C$32</f>
        <v>258.38986638022698</v>
      </c>
      <c r="G154" s="12">
        <f>(G$125*(($A$20+$C154)*0.01))-(($C$35*$E$35*$B$152+$G$36+$G$37+$G$38+$G$42+$G$39+$G$40+$G$41+$G$43+$G$44+$G$45+$G$46+$G$47+$G$61)/$C$32)-((($C$35*$E$35*$B$152+$G$39+$G$40)*$C$21/365)+($G$36*($C$21+30)/365)+($G$42*(($C$21*0.67)/365))+(($G$37+$G$38+$G$41+$G$43+$G$44+$G$46+$G$47)*($C$21*0.5)/365))*$F$48/$C$32</f>
        <v>298.12986638022699</v>
      </c>
      <c r="H154" s="13">
        <f>(H$125*(($A$20+$C154)*0.01))-(($C$35*$E$35*$B$152+$G$36+$G$37+$G$38+$G$42+$G$39+$G$40+$G$41+$G$43+$G$44+$G$45+$G$46+$G$47+$G$61)/$C$32)-((($C$35*$E$35*$B$152+$G$39+$G$40)*$C$21/365)+($G$36*($C$21+30)/365)+($G$42*(($C$21*0.67)/365))+(($G$37+$G$38+$G$41+$G$43+$G$44+$G$46+$G$47)*($C$21*0.5)/365))*$F$48/$C$32</f>
        <v>337.86986638022699</v>
      </c>
      <c r="I154" s="12"/>
    </row>
    <row r="155" spans="1:9" ht="16" x14ac:dyDescent="0.2">
      <c r="A155" s="3"/>
      <c r="B155" s="16"/>
      <c r="C155" s="17"/>
      <c r="D155" s="3"/>
      <c r="E155" s="3"/>
      <c r="F155" s="3"/>
      <c r="G155" s="3"/>
      <c r="H155" s="19"/>
      <c r="I155" s="3"/>
    </row>
    <row r="156" spans="1:9" ht="16" x14ac:dyDescent="0.2">
      <c r="A156" s="3"/>
      <c r="B156" s="16"/>
      <c r="C156" s="17"/>
      <c r="D156" s="3"/>
      <c r="E156" s="3"/>
      <c r="F156" s="3"/>
      <c r="G156" s="3"/>
      <c r="H156" s="19"/>
      <c r="I156" s="3"/>
    </row>
    <row r="157" spans="1:9" ht="16" x14ac:dyDescent="0.2">
      <c r="A157" s="3"/>
      <c r="B157" s="16"/>
      <c r="C157" s="18">
        <f>C143</f>
        <v>294.79999999999995</v>
      </c>
      <c r="D157" s="12">
        <f>(D$125*(($A$20+$C157)*0.01))-(($C$35*$E$35*$B$159+$G$36+$G$37+$G$38+$G$42+$G$39+$G$40+$G$41+$G$43+$G$44+$G$45+$G$46+$G$47+$G$61)/$C$32)-((($C$35*$E$35*$B$159+$G$39+$G$40)*$C$21/365)+($G$36*($C$21+30)/365)+($G$42*(($C$21*0.67)/365))+(($G$37+$G$38+$G$41+$G$43+$G$44+$G$46+$G$47)*($C$21*0.5)/365))*$F$48/$C$32</f>
        <v>-77.050688530383439</v>
      </c>
      <c r="E157" s="12">
        <f>(E$125*(($A$20+$C157)*0.01))-(($C$35*$E$35*$B$159+$G$36+$G$37+$G$38+$G$42+$G$39+$G$40+$G$41+$G$43+$G$44+$G$45+$G$46+$G$47+$G$61)/$C$32)-((($C$35*$E$35*$B$159+$G$39+$G$40)*$C$21/365)+($G$36*($C$21+30)/365)+($G$42*(($C$21*0.67)/365))+(($G$37+$G$38+$G$41+$G$43+$G$44+$G$46+$G$47)*($C$21*0.5)/365))*$F$48/$C$32</f>
        <v>-42.310688530383658</v>
      </c>
      <c r="F157" s="12">
        <f>(F$125*(($A$20+$C157)*0.01))-(($C$35*$E$35*$B$159+$G$36+$G$37+$G$38+$G$42+$G$39+$G$40+$G$41+$G$43+$G$44+$G$45+$G$46+$G$47+$G$61)/$C$32)-((($C$35*$E$35*$B$159+$G$39+$G$40)*$C$21/365)+($G$36*($C$21+30)/365)+($G$42*(($C$21*0.67)/365))+(($G$37+$G$38+$G$41+$G$43+$G$44+$G$46+$G$47)*($C$21*0.5)/365))*$F$48/$C$32</f>
        <v>-7.5706885303836486</v>
      </c>
      <c r="G157" s="12">
        <f>(G$125*(($A$20+$C157)*0.01))-(($C$35*$E$35*$B$159+$G$36+$G$37+$G$38+$G$42+$G$39+$G$40+$G$41+$G$43+$G$44+$G$45+$G$46+$G$47+$G$61)/$C$32)-((($C$35*$E$35*$B$159+$G$39+$G$40)*$C$21/365)+($G$36*($C$21+30)/365)+($G$42*(($C$21*0.67)/365))+(($G$37+$G$38+$G$41+$G$43+$G$44+$G$46+$G$47)*($C$21*0.5)/365))*$F$48/$C$32</f>
        <v>27.16931146961636</v>
      </c>
      <c r="H157" s="13">
        <f>(H$125*(($A$20+$C157)*0.01))-(($C$35*$E$35*$B$159+$G$36+$G$37+$G$38+$G$42+$G$39+$G$40+$G$41+$G$43+$G$44+$G$45+$G$46+$G$47+$G$61)/$C$32)-((($C$35*$E$35*$B$159+$G$39+$G$40)*$C$21/365)+($G$36*($C$21+30)/365)+($G$42*(($C$21*0.67)/365))+(($G$37+$G$38+$G$41+$G$43+$G$44+$G$46+$G$47)*($C$21*0.5)/365))*$F$48/$C$32</f>
        <v>61.90931146961637</v>
      </c>
      <c r="I157" s="12"/>
    </row>
    <row r="158" spans="1:9" ht="16" x14ac:dyDescent="0.2">
      <c r="A158" s="3"/>
      <c r="B158" s="16"/>
      <c r="C158" s="17"/>
      <c r="D158" s="12"/>
      <c r="E158" s="12"/>
      <c r="F158" s="12"/>
      <c r="G158" s="12"/>
      <c r="H158" s="13"/>
      <c r="I158" s="12"/>
    </row>
    <row r="159" spans="1:9" ht="16" x14ac:dyDescent="0.2">
      <c r="A159" s="3"/>
      <c r="B159" s="16">
        <f>B145+10</f>
        <v>283</v>
      </c>
      <c r="C159" s="18">
        <f>C145</f>
        <v>344.79999999999995</v>
      </c>
      <c r="D159" s="12">
        <f>(D$125*(($A$20+$C159)*0.01))-(($C$35*$E$35*$B$159+$G$36+$G$37+$G$38+$G$42+$G$39+$G$40+$G$41+$G$43+$G$44+$G$45+$G$46+$G$47+$G$61)/$C$32)-((($C$35*$E$35*$B$159+$G$39+$G$40)*$C$21/365)+($G$36*($C$21+30)/365)+($G$42*(($C$21*0.67)/365))+(($G$37+$G$38+$G$41+$G$43+$G$44+$G$46+$G$47)*($C$21*0.5)/365))*$F$48/$C$32</f>
        <v>40.31431146961657</v>
      </c>
      <c r="E159" s="12">
        <f>(E$125*(($A$20+$C159)*0.01))-(($C$35*$E$35*$B$159+$G$36+$G$37+$G$38+$G$42+$G$39+$G$40+$G$41+$G$43+$G$44+$G$45+$G$46+$G$47+$G$61)/$C$32)-((($C$35*$E$35*$B$159+$G$39+$G$40)*$C$21/365)+($G$36*($C$21+30)/365)+($G$42*(($C$21*0.67)/365))+(($G$37+$G$38+$G$41+$G$43+$G$44+$G$46+$G$47)*($C$21*0.5)/365))*$F$48/$C$32</f>
        <v>77.554311469616351</v>
      </c>
      <c r="F159" s="12">
        <f>(F$125*(($A$20+$C159)*0.01))-(($C$35*$E$35*$B$159+$G$36+$G$37+$G$38+$G$42+$G$39+$G$40+$G$41+$G$43+$G$44+$G$45+$G$46+$G$47+$G$61)/$C$32)-((($C$35*$E$35*$B$159+$G$39+$G$40)*$C$21/365)+($G$36*($C$21+30)/365)+($G$42*(($C$21*0.67)/365))+(($G$37+$G$38+$G$41+$G$43+$G$44+$G$46+$G$47)*($C$21*0.5)/365))*$F$48/$C$32</f>
        <v>114.79431146961636</v>
      </c>
      <c r="G159" s="12">
        <f>(G$125*(($A$20+$C159)*0.01))-(($C$35*$E$35*$B$159+$G$36+$G$37+$G$38+$G$42+$G$39+$G$40+$G$41+$G$43+$G$44+$G$45+$G$46+$G$47+$G$61)/$C$32)-((($C$35*$E$35*$B$159+$G$39+$G$40)*$C$21/365)+($G$36*($C$21+30)/365)+($G$42*(($C$21*0.67)/365))+(($G$37+$G$38+$G$41+$G$43+$G$44+$G$46+$G$47)*($C$21*0.5)/365))*$F$48/$C$32</f>
        <v>152.03431146961637</v>
      </c>
      <c r="H159" s="13">
        <f>(H$125*(($A$20+$C159)*0.01))-(($C$35*$E$35*$B$159+$G$36+$G$37+$G$38+$G$42+$G$39+$G$40+$G$41+$G$43+$G$44+$G$45+$G$46+$G$47+$G$61)/$C$32)-((($C$35*$E$35*$B$159+$G$39+$G$40)*$C$21/365)+($G$36*($C$21+30)/365)+($G$42*(($C$21*0.67)/365))+(($G$37+$G$38+$G$41+$G$43+$G$44+$G$46+$G$47)*($C$21*0.5)/365))*$F$48/$C$32</f>
        <v>189.27431146961638</v>
      </c>
      <c r="I159" s="12"/>
    </row>
    <row r="160" spans="1:9" ht="16" x14ac:dyDescent="0.2">
      <c r="A160" s="3"/>
      <c r="B160" s="16"/>
      <c r="C160" s="17"/>
      <c r="D160" s="12"/>
      <c r="E160" s="12"/>
      <c r="F160" s="12"/>
      <c r="G160" s="12"/>
      <c r="H160" s="13"/>
      <c r="I160" s="12"/>
    </row>
    <row r="161" spans="1:9" ht="16" x14ac:dyDescent="0.2">
      <c r="A161" s="3"/>
      <c r="B161" s="16"/>
      <c r="C161" s="15">
        <f>C147</f>
        <v>394.79999999999995</v>
      </c>
      <c r="D161" s="14">
        <f>(D$125*(($A$20+$C161)*0.01))-(($C$35*$E$35*$B$159+$G$36+$G$37+$G$38+$G$42+$G$39+$G$40+$G$41+$G$43+$G$44+$G$45+$G$46+$G$47+$G$61)/$C$32)-((($C$35*$E$35*$B$159+$G$39+$G$40)*$C$21/365)+($G$36*($C$21+30)/365)+($G$42*(($C$21*0.67)/365))+(($G$37+$G$38+$G$41+$G$43+$G$44+$G$46+$G$47)*($C$21*0.5)/365))*$F$48/$C$32</f>
        <v>157.67931146961658</v>
      </c>
      <c r="E161" s="12">
        <f>(E$125*(($A$20+$C161)*0.01))-(($C$35*$E$35*$B$159+$G$36+$G$37+$G$38+$G$42+$G$39+$G$40+$G$41+$G$43+$G$44+$G$45+$G$46+$G$47+$G$61)/$C$32)-((($C$35*$E$35*$B$159+$G$39+$G$40)*$C$21/365)+($G$36*($C$21+30)/365)+($G$42*(($C$21*0.67)/365))+(($G$37+$G$38+$G$41+$G$43+$G$44+$G$46+$G$47)*($C$21*0.5)/365))*$F$48/$C$32</f>
        <v>197.41931146961636</v>
      </c>
      <c r="F161" s="12">
        <f>(F$125*(($A$20+$C161)*0.01))-(($C$35*$E$35*$B$159+$G$36+$G$37+$G$38+$G$42+$G$39+$G$40+$G$41+$G$43+$G$44+$G$45+$G$46+$G$47+$G$61)/$C$32)-((($C$35*$E$35*$B$159+$G$39+$G$40)*$C$21/365)+($G$36*($C$21+30)/365)+($G$42*(($C$21*0.67)/365))+(($G$37+$G$38+$G$41+$G$43+$G$44+$G$46+$G$47)*($C$21*0.5)/365))*$F$48/$C$32</f>
        <v>237.15931146961637</v>
      </c>
      <c r="G161" s="12">
        <f>(G$125*(($A$20+$C161)*0.01))-(($C$35*$E$35*$B$159+$G$36+$G$37+$G$38+$G$42+$G$39+$G$40+$G$41+$G$43+$G$44+$G$45+$G$46+$G$47+$G$61)/$C$32)-((($C$35*$E$35*$B$159+$G$39+$G$40)*$C$21/365)+($G$36*($C$21+30)/365)+($G$42*(($C$21*0.67)/365))+(($G$37+$G$38+$G$41+$G$43+$G$44+$G$46+$G$47)*($C$21*0.5)/365))*$F$48/$C$32</f>
        <v>276.89931146961635</v>
      </c>
      <c r="H161" s="13">
        <f>(H$125*(($A$20+$C161)*0.01))-(($C$35*$E$35*$B$159+$G$36+$G$37+$G$38+$G$42+$G$39+$G$40+$G$41+$G$43+$G$44+$G$45+$G$46+$G$47+$G$61)/$C$32)-((($C$35*$E$35*$B$159+$G$39+$G$40)*$C$21/365)+($G$36*($C$21+30)/365)+($G$42*(($C$21*0.67)/365))+(($G$37+$G$38+$G$41+$G$43+$G$44+$G$46+$G$47)*($C$21*0.5)/365))*$F$48/$C$32</f>
        <v>316.63931146961636</v>
      </c>
      <c r="I161" s="12"/>
    </row>
    <row r="162" spans="1:9" ht="16" x14ac:dyDescent="0.2">
      <c r="A162" s="3"/>
      <c r="B162" s="3"/>
      <c r="C162" s="3"/>
      <c r="D162" s="11"/>
      <c r="E162" s="10"/>
      <c r="F162" s="10"/>
      <c r="G162" s="10"/>
      <c r="H162" s="9"/>
      <c r="I162" s="3"/>
    </row>
    <row r="163" spans="1:9" ht="16" x14ac:dyDescent="0.2">
      <c r="A163" s="3"/>
      <c r="B163" s="3"/>
      <c r="C163" s="3"/>
      <c r="D163" s="8" t="s">
        <v>1</v>
      </c>
      <c r="E163" s="3"/>
      <c r="F163" s="3"/>
      <c r="G163" s="3"/>
      <c r="H163" s="3"/>
      <c r="I163" s="3"/>
    </row>
    <row r="164" spans="1:9" ht="16" x14ac:dyDescent="0.2">
      <c r="A164" s="3"/>
      <c r="B164" s="3"/>
      <c r="C164" s="3"/>
      <c r="D164" s="3"/>
      <c r="E164" s="3"/>
      <c r="F164" s="3"/>
      <c r="G164" s="3"/>
      <c r="H164" s="3"/>
      <c r="I164" s="3"/>
    </row>
    <row r="165" spans="1:9" ht="16" x14ac:dyDescent="0.2">
      <c r="A165" s="3"/>
      <c r="B165" s="6" t="s">
        <v>0</v>
      </c>
      <c r="C165" s="5"/>
      <c r="D165" s="5"/>
      <c r="E165" s="3"/>
      <c r="F165" s="3"/>
      <c r="G165" s="3"/>
      <c r="H165" s="3"/>
      <c r="I165" s="3"/>
    </row>
    <row r="166" spans="1:9" ht="16" x14ac:dyDescent="0.2">
      <c r="A166" s="3"/>
      <c r="B166" s="6" t="s">
        <v>150</v>
      </c>
      <c r="C166" s="5"/>
      <c r="D166" s="5"/>
      <c r="E166" s="3"/>
      <c r="F166" s="3"/>
      <c r="G166" s="3"/>
      <c r="H166" s="3"/>
      <c r="I166" s="3"/>
    </row>
    <row r="167" spans="1:9" ht="16" x14ac:dyDescent="0.2">
      <c r="A167" s="3"/>
      <c r="B167" s="7" t="s">
        <v>151</v>
      </c>
      <c r="C167" s="5"/>
      <c r="D167" s="5"/>
      <c r="E167" s="3"/>
      <c r="F167" s="3"/>
      <c r="G167" s="3"/>
      <c r="H167" s="3"/>
      <c r="I167" s="3"/>
    </row>
    <row r="168" spans="1:9" ht="16" x14ac:dyDescent="0.2">
      <c r="A168" s="3"/>
      <c r="B168" s="6" t="s">
        <v>152</v>
      </c>
      <c r="C168" s="5"/>
      <c r="D168" s="5"/>
      <c r="E168" s="3"/>
      <c r="F168" s="3"/>
      <c r="G168" s="3"/>
      <c r="H168" s="3"/>
      <c r="I168" s="3"/>
    </row>
    <row r="169" spans="1:9" ht="16" x14ac:dyDescent="0.2">
      <c r="A169" s="4"/>
      <c r="B169" s="4"/>
      <c r="C169" s="4"/>
      <c r="D169" s="4"/>
      <c r="E169" s="4"/>
      <c r="F169" s="4"/>
      <c r="G169" s="4"/>
      <c r="H169" s="4"/>
      <c r="I169" s="3"/>
    </row>
    <row r="170" spans="1:9" ht="16" x14ac:dyDescent="0.2">
      <c r="A170" s="117" t="s">
        <v>153</v>
      </c>
      <c r="I170" s="2"/>
    </row>
    <row r="171" spans="1:9" ht="16" x14ac:dyDescent="0.2">
      <c r="A171" s="117" t="s">
        <v>154</v>
      </c>
      <c r="I171" s="2"/>
    </row>
    <row r="172" spans="1:9" ht="16" x14ac:dyDescent="0.2">
      <c r="A172" s="117" t="s">
        <v>155</v>
      </c>
      <c r="I172" s="2"/>
    </row>
    <row r="173" spans="1:9" ht="16" x14ac:dyDescent="0.2">
      <c r="A173" s="117" t="s">
        <v>156</v>
      </c>
      <c r="I173" s="2"/>
    </row>
    <row r="174" spans="1:9" ht="16" x14ac:dyDescent="0.2">
      <c r="A174" s="117" t="s">
        <v>157</v>
      </c>
      <c r="I174" s="2"/>
    </row>
    <row r="175" spans="1:9" ht="16" x14ac:dyDescent="0.2">
      <c r="I175" s="2"/>
    </row>
    <row r="176" spans="1:9" ht="16" x14ac:dyDescent="0.2">
      <c r="I176" s="2"/>
    </row>
    <row r="177" spans="9:9" ht="16" x14ac:dyDescent="0.2">
      <c r="I177" s="2"/>
    </row>
    <row r="178" spans="9:9" ht="16" x14ac:dyDescent="0.2">
      <c r="I178" s="2"/>
    </row>
    <row r="179" spans="9:9" ht="16" x14ac:dyDescent="0.2">
      <c r="I179" s="2"/>
    </row>
    <row r="180" spans="9:9" ht="16" x14ac:dyDescent="0.2">
      <c r="I180" s="2"/>
    </row>
    <row r="181" spans="9:9" ht="16" x14ac:dyDescent="0.2">
      <c r="I181" s="2"/>
    </row>
    <row r="182" spans="9:9" ht="16" x14ac:dyDescent="0.2">
      <c r="I182" s="2"/>
    </row>
    <row r="183" spans="9:9" ht="16" x14ac:dyDescent="0.2">
      <c r="I183" s="2"/>
    </row>
    <row r="184" spans="9:9" ht="16" x14ac:dyDescent="0.2">
      <c r="I184" s="2"/>
    </row>
    <row r="185" spans="9:9" ht="16" x14ac:dyDescent="0.2">
      <c r="I185" s="2"/>
    </row>
    <row r="186" spans="9:9" ht="16" x14ac:dyDescent="0.2">
      <c r="I186" s="2"/>
    </row>
    <row r="187" spans="9:9" ht="16" x14ac:dyDescent="0.2">
      <c r="I187" s="2"/>
    </row>
    <row r="188" spans="9:9" ht="16" x14ac:dyDescent="0.2">
      <c r="I188" s="2"/>
    </row>
    <row r="189" spans="9:9" ht="16" x14ac:dyDescent="0.2">
      <c r="I189" s="2"/>
    </row>
    <row r="190" spans="9:9" ht="16" x14ac:dyDescent="0.2">
      <c r="I190" s="2"/>
    </row>
    <row r="191" spans="9:9" ht="16" x14ac:dyDescent="0.2">
      <c r="I191" s="2"/>
    </row>
    <row r="192" spans="9:9" ht="16" x14ac:dyDescent="0.2">
      <c r="I192" s="2"/>
    </row>
    <row r="193" spans="9:9" ht="16" x14ac:dyDescent="0.2">
      <c r="I193" s="2"/>
    </row>
    <row r="194" spans="9:9" ht="16" x14ac:dyDescent="0.2">
      <c r="I194" s="2"/>
    </row>
    <row r="195" spans="9:9" ht="16" x14ac:dyDescent="0.2">
      <c r="I195" s="2"/>
    </row>
    <row r="196" spans="9:9" ht="16" x14ac:dyDescent="0.2">
      <c r="I196" s="2"/>
    </row>
    <row r="197" spans="9:9" ht="16" x14ac:dyDescent="0.2">
      <c r="I197" s="2"/>
    </row>
    <row r="198" spans="9:9" ht="16" x14ac:dyDescent="0.2">
      <c r="I198" s="2"/>
    </row>
    <row r="199" spans="9:9" ht="16" x14ac:dyDescent="0.2">
      <c r="I199" s="2"/>
    </row>
    <row r="200" spans="9:9" ht="16" x14ac:dyDescent="0.2">
      <c r="I200" s="2"/>
    </row>
    <row r="201" spans="9:9" ht="16" x14ac:dyDescent="0.2">
      <c r="I201" s="2"/>
    </row>
    <row r="202" spans="9:9" ht="16" x14ac:dyDescent="0.2">
      <c r="I202" s="2"/>
    </row>
    <row r="203" spans="9:9" ht="16" x14ac:dyDescent="0.2">
      <c r="I203" s="2"/>
    </row>
    <row r="204" spans="9:9" ht="16" x14ac:dyDescent="0.2">
      <c r="I204" s="2"/>
    </row>
    <row r="205" spans="9:9" ht="16" x14ac:dyDescent="0.2">
      <c r="I205" s="2"/>
    </row>
    <row r="206" spans="9:9" ht="16" x14ac:dyDescent="0.2">
      <c r="I206" s="2"/>
    </row>
    <row r="207" spans="9:9" ht="16" x14ac:dyDescent="0.2">
      <c r="I207" s="2"/>
    </row>
    <row r="208" spans="9:9" ht="16" x14ac:dyDescent="0.2">
      <c r="I208" s="2"/>
    </row>
    <row r="209" spans="9:9" ht="16" x14ac:dyDescent="0.2">
      <c r="I209" s="2"/>
    </row>
    <row r="210" spans="9:9" ht="16" x14ac:dyDescent="0.2">
      <c r="I210" s="2"/>
    </row>
    <row r="211" spans="9:9" ht="16" x14ac:dyDescent="0.2">
      <c r="I211" s="2"/>
    </row>
    <row r="212" spans="9:9" ht="16" x14ac:dyDescent="0.2">
      <c r="I212" s="2"/>
    </row>
    <row r="213" spans="9:9" ht="16" x14ac:dyDescent="0.2">
      <c r="I213" s="2"/>
    </row>
    <row r="214" spans="9:9" ht="16" x14ac:dyDescent="0.2">
      <c r="I214" s="2"/>
    </row>
    <row r="215" spans="9:9" ht="16" x14ac:dyDescent="0.2">
      <c r="I215" s="2"/>
    </row>
    <row r="216" spans="9:9" ht="16" x14ac:dyDescent="0.2">
      <c r="I216" s="2"/>
    </row>
    <row r="217" spans="9:9" ht="16" x14ac:dyDescent="0.2">
      <c r="I217" s="2"/>
    </row>
    <row r="218" spans="9:9" ht="16" x14ac:dyDescent="0.2">
      <c r="I218" s="2"/>
    </row>
    <row r="219" spans="9:9" ht="16" x14ac:dyDescent="0.2">
      <c r="I219" s="2"/>
    </row>
    <row r="220" spans="9:9" ht="16" x14ac:dyDescent="0.2">
      <c r="I220" s="2"/>
    </row>
    <row r="221" spans="9:9" ht="16" x14ac:dyDescent="0.2">
      <c r="I221" s="2"/>
    </row>
    <row r="222" spans="9:9" ht="16" x14ac:dyDescent="0.2">
      <c r="I222" s="2"/>
    </row>
    <row r="223" spans="9:9" ht="16" x14ac:dyDescent="0.2">
      <c r="I223" s="2"/>
    </row>
    <row r="224" spans="9:9" ht="16" x14ac:dyDescent="0.2">
      <c r="I224" s="2"/>
    </row>
    <row r="225" spans="9:9" ht="16" x14ac:dyDescent="0.2">
      <c r="I225" s="2"/>
    </row>
    <row r="226" spans="9:9" ht="16" x14ac:dyDescent="0.2">
      <c r="I226" s="2"/>
    </row>
    <row r="227" spans="9:9" ht="16" x14ac:dyDescent="0.2">
      <c r="I227" s="2"/>
    </row>
    <row r="228" spans="9:9" ht="16" x14ac:dyDescent="0.2">
      <c r="I228" s="2"/>
    </row>
    <row r="229" spans="9:9" ht="16" x14ac:dyDescent="0.2">
      <c r="I229" s="2"/>
    </row>
    <row r="230" spans="9:9" ht="16" x14ac:dyDescent="0.2">
      <c r="I230" s="2"/>
    </row>
    <row r="231" spans="9:9" ht="16" x14ac:dyDescent="0.2">
      <c r="I231" s="2"/>
    </row>
    <row r="232" spans="9:9" ht="16" x14ac:dyDescent="0.2">
      <c r="I232" s="2"/>
    </row>
    <row r="233" spans="9:9" ht="16" x14ac:dyDescent="0.2">
      <c r="I233" s="2"/>
    </row>
    <row r="234" spans="9:9" ht="16" x14ac:dyDescent="0.2">
      <c r="I234" s="2"/>
    </row>
    <row r="235" spans="9:9" ht="16" x14ac:dyDescent="0.2">
      <c r="I235" s="2"/>
    </row>
    <row r="236" spans="9:9" ht="16" x14ac:dyDescent="0.2">
      <c r="I236" s="2"/>
    </row>
    <row r="237" spans="9:9" ht="16" x14ac:dyDescent="0.2">
      <c r="I237" s="2"/>
    </row>
    <row r="238" spans="9:9" ht="16" x14ac:dyDescent="0.2">
      <c r="I238" s="2"/>
    </row>
    <row r="239" spans="9:9" ht="16" x14ac:dyDescent="0.2">
      <c r="I239" s="2"/>
    </row>
    <row r="240" spans="9:9" ht="16" x14ac:dyDescent="0.2">
      <c r="I240" s="2"/>
    </row>
    <row r="241" spans="9:9" ht="16" x14ac:dyDescent="0.2">
      <c r="I241" s="2"/>
    </row>
    <row r="242" spans="9:9" ht="16" x14ac:dyDescent="0.2">
      <c r="I242" s="2"/>
    </row>
    <row r="243" spans="9:9" ht="16" x14ac:dyDescent="0.2">
      <c r="I243" s="2"/>
    </row>
    <row r="244" spans="9:9" ht="16" x14ac:dyDescent="0.2">
      <c r="I244" s="2"/>
    </row>
    <row r="245" spans="9:9" ht="16" x14ac:dyDescent="0.2">
      <c r="I245" s="2"/>
    </row>
    <row r="246" spans="9:9" ht="16" x14ac:dyDescent="0.2">
      <c r="I246" s="2"/>
    </row>
    <row r="247" spans="9:9" ht="16" x14ac:dyDescent="0.2">
      <c r="I247" s="2"/>
    </row>
    <row r="248" spans="9:9" ht="16" x14ac:dyDescent="0.2">
      <c r="I248" s="2"/>
    </row>
    <row r="249" spans="9:9" ht="16" x14ac:dyDescent="0.2">
      <c r="I249" s="2"/>
    </row>
    <row r="250" spans="9:9" ht="16" x14ac:dyDescent="0.2">
      <c r="I250" s="2"/>
    </row>
    <row r="251" spans="9:9" ht="16" x14ac:dyDescent="0.2">
      <c r="I251" s="2"/>
    </row>
    <row r="252" spans="9:9" ht="16" x14ac:dyDescent="0.2">
      <c r="I252" s="2"/>
    </row>
    <row r="253" spans="9:9" ht="16" x14ac:dyDescent="0.2">
      <c r="I253" s="2"/>
    </row>
    <row r="254" spans="9:9" ht="16" x14ac:dyDescent="0.2">
      <c r="I254" s="2"/>
    </row>
    <row r="255" spans="9:9" ht="16" x14ac:dyDescent="0.2">
      <c r="I255" s="2"/>
    </row>
    <row r="256" spans="9:9" ht="16" x14ac:dyDescent="0.2">
      <c r="I256" s="2"/>
    </row>
    <row r="257" spans="9:9" ht="16" x14ac:dyDescent="0.2">
      <c r="I257" s="2"/>
    </row>
    <row r="258" spans="9:9" ht="16" x14ac:dyDescent="0.2">
      <c r="I258" s="2"/>
    </row>
    <row r="259" spans="9:9" ht="16" x14ac:dyDescent="0.2">
      <c r="I259" s="2"/>
    </row>
    <row r="260" spans="9:9" ht="16" x14ac:dyDescent="0.2">
      <c r="I260" s="2"/>
    </row>
    <row r="261" spans="9:9" ht="16" x14ac:dyDescent="0.2">
      <c r="I261" s="2"/>
    </row>
    <row r="262" spans="9:9" ht="16" x14ac:dyDescent="0.2">
      <c r="I262" s="2"/>
    </row>
    <row r="263" spans="9:9" ht="16" x14ac:dyDescent="0.2">
      <c r="I263" s="2"/>
    </row>
    <row r="264" spans="9:9" ht="16" x14ac:dyDescent="0.2">
      <c r="I264" s="2"/>
    </row>
    <row r="265" spans="9:9" ht="16" x14ac:dyDescent="0.2">
      <c r="I265" s="2"/>
    </row>
    <row r="266" spans="9:9" ht="16" x14ac:dyDescent="0.2">
      <c r="I266" s="2"/>
    </row>
    <row r="267" spans="9:9" ht="16" x14ac:dyDescent="0.2">
      <c r="I267" s="2"/>
    </row>
    <row r="268" spans="9:9" ht="16" x14ac:dyDescent="0.2">
      <c r="I268" s="2"/>
    </row>
    <row r="269" spans="9:9" ht="16" x14ac:dyDescent="0.2">
      <c r="I269" s="2"/>
    </row>
    <row r="270" spans="9:9" ht="16" x14ac:dyDescent="0.2">
      <c r="I270" s="2"/>
    </row>
    <row r="271" spans="9:9" ht="16" x14ac:dyDescent="0.2">
      <c r="I271" s="2"/>
    </row>
    <row r="272" spans="9:9" ht="16" x14ac:dyDescent="0.2">
      <c r="I272" s="2"/>
    </row>
    <row r="273" spans="9:9" ht="16" x14ac:dyDescent="0.2">
      <c r="I273" s="2"/>
    </row>
    <row r="274" spans="9:9" ht="16" x14ac:dyDescent="0.2">
      <c r="I274" s="2"/>
    </row>
    <row r="275" spans="9:9" ht="16" x14ac:dyDescent="0.2">
      <c r="I275" s="2"/>
    </row>
    <row r="276" spans="9:9" ht="16" x14ac:dyDescent="0.2">
      <c r="I276" s="2"/>
    </row>
    <row r="277" spans="9:9" ht="16" x14ac:dyDescent="0.2">
      <c r="I277" s="2"/>
    </row>
    <row r="278" spans="9:9" ht="16" x14ac:dyDescent="0.2">
      <c r="I278" s="2"/>
    </row>
    <row r="279" spans="9:9" ht="16" x14ac:dyDescent="0.2">
      <c r="I279" s="2"/>
    </row>
    <row r="280" spans="9:9" ht="16" x14ac:dyDescent="0.2">
      <c r="I280" s="2"/>
    </row>
    <row r="281" spans="9:9" ht="16" x14ac:dyDescent="0.2">
      <c r="I281" s="2"/>
    </row>
    <row r="282" spans="9:9" ht="16" x14ac:dyDescent="0.2">
      <c r="I282" s="2"/>
    </row>
    <row r="283" spans="9:9" ht="16" x14ac:dyDescent="0.2">
      <c r="I283" s="2"/>
    </row>
    <row r="284" spans="9:9" ht="16" x14ac:dyDescent="0.2">
      <c r="I284" s="2"/>
    </row>
    <row r="285" spans="9:9" ht="16" x14ac:dyDescent="0.2">
      <c r="I285" s="2"/>
    </row>
    <row r="286" spans="9:9" ht="16" x14ac:dyDescent="0.2">
      <c r="I286" s="2"/>
    </row>
    <row r="287" spans="9:9" ht="16" x14ac:dyDescent="0.2">
      <c r="I287" s="2"/>
    </row>
    <row r="288" spans="9:9" ht="16" x14ac:dyDescent="0.2">
      <c r="I288" s="2"/>
    </row>
    <row r="289" spans="9:9" ht="16" x14ac:dyDescent="0.2">
      <c r="I289" s="2"/>
    </row>
    <row r="290" spans="9:9" ht="16" x14ac:dyDescent="0.2">
      <c r="I290" s="2"/>
    </row>
    <row r="291" spans="9:9" ht="16" x14ac:dyDescent="0.2">
      <c r="I291" s="2"/>
    </row>
    <row r="292" spans="9:9" ht="16" x14ac:dyDescent="0.2">
      <c r="I292" s="2"/>
    </row>
    <row r="293" spans="9:9" ht="16" x14ac:dyDescent="0.2">
      <c r="I293" s="2"/>
    </row>
    <row r="294" spans="9:9" ht="16" x14ac:dyDescent="0.2">
      <c r="I294" s="2"/>
    </row>
    <row r="295" spans="9:9" ht="16" x14ac:dyDescent="0.2">
      <c r="I295" s="2"/>
    </row>
    <row r="296" spans="9:9" ht="16" x14ac:dyDescent="0.2">
      <c r="I296" s="2"/>
    </row>
    <row r="297" spans="9:9" ht="16" x14ac:dyDescent="0.2">
      <c r="I297" s="2"/>
    </row>
    <row r="298" spans="9:9" ht="16" x14ac:dyDescent="0.2">
      <c r="I298" s="2"/>
    </row>
    <row r="299" spans="9:9" ht="16" x14ac:dyDescent="0.2">
      <c r="I299" s="2"/>
    </row>
    <row r="300" spans="9:9" ht="16" x14ac:dyDescent="0.2">
      <c r="I300" s="2"/>
    </row>
    <row r="301" spans="9:9" ht="16" x14ac:dyDescent="0.2">
      <c r="I301" s="2"/>
    </row>
    <row r="302" spans="9:9" ht="16" x14ac:dyDescent="0.2">
      <c r="I302" s="2"/>
    </row>
    <row r="303" spans="9:9" ht="16" x14ac:dyDescent="0.2">
      <c r="I303" s="2"/>
    </row>
    <row r="304" spans="9:9" ht="16" x14ac:dyDescent="0.2">
      <c r="I304" s="2"/>
    </row>
    <row r="305" spans="9:9" ht="16" x14ac:dyDescent="0.2">
      <c r="I305" s="2"/>
    </row>
    <row r="306" spans="9:9" ht="16" x14ac:dyDescent="0.2">
      <c r="I306" s="2"/>
    </row>
    <row r="307" spans="9:9" ht="16" x14ac:dyDescent="0.2">
      <c r="I307" s="2"/>
    </row>
    <row r="308" spans="9:9" ht="16" x14ac:dyDescent="0.2">
      <c r="I308" s="2"/>
    </row>
    <row r="309" spans="9:9" ht="16" x14ac:dyDescent="0.2">
      <c r="I309" s="2"/>
    </row>
    <row r="310" spans="9:9" ht="16" x14ac:dyDescent="0.2">
      <c r="I310" s="2"/>
    </row>
    <row r="311" spans="9:9" ht="16" x14ac:dyDescent="0.2">
      <c r="I311" s="2"/>
    </row>
    <row r="312" spans="9:9" ht="16" x14ac:dyDescent="0.2">
      <c r="I312" s="2"/>
    </row>
    <row r="313" spans="9:9" ht="16" x14ac:dyDescent="0.2">
      <c r="I313" s="2"/>
    </row>
    <row r="314" spans="9:9" ht="16" x14ac:dyDescent="0.2">
      <c r="I314" s="2"/>
    </row>
    <row r="315" spans="9:9" ht="16" x14ac:dyDescent="0.2">
      <c r="I315" s="2"/>
    </row>
    <row r="316" spans="9:9" ht="16" x14ac:dyDescent="0.2">
      <c r="I316" s="2"/>
    </row>
    <row r="317" spans="9:9" ht="16" x14ac:dyDescent="0.2">
      <c r="I317" s="2"/>
    </row>
    <row r="318" spans="9:9" ht="16" x14ac:dyDescent="0.2">
      <c r="I318" s="2"/>
    </row>
    <row r="319" spans="9:9" ht="16" x14ac:dyDescent="0.2">
      <c r="I319" s="2"/>
    </row>
    <row r="320" spans="9:9" ht="16" x14ac:dyDescent="0.2">
      <c r="I320" s="2"/>
    </row>
    <row r="321" spans="9:9" ht="16" x14ac:dyDescent="0.2">
      <c r="I321" s="2"/>
    </row>
    <row r="322" spans="9:9" ht="16" x14ac:dyDescent="0.2">
      <c r="I322" s="2"/>
    </row>
    <row r="323" spans="9:9" ht="16" x14ac:dyDescent="0.2">
      <c r="I323" s="2"/>
    </row>
    <row r="324" spans="9:9" ht="16" x14ac:dyDescent="0.2">
      <c r="I324" s="2"/>
    </row>
    <row r="325" spans="9:9" ht="16" x14ac:dyDescent="0.2">
      <c r="I325" s="2"/>
    </row>
    <row r="326" spans="9:9" ht="16" x14ac:dyDescent="0.2">
      <c r="I326" s="2"/>
    </row>
    <row r="327" spans="9:9" ht="16" x14ac:dyDescent="0.2">
      <c r="I327" s="2"/>
    </row>
    <row r="328" spans="9:9" ht="16" x14ac:dyDescent="0.2">
      <c r="I328" s="2"/>
    </row>
    <row r="329" spans="9:9" ht="16" x14ac:dyDescent="0.2">
      <c r="I329" s="2"/>
    </row>
    <row r="330" spans="9:9" ht="16" x14ac:dyDescent="0.2">
      <c r="I330" s="2"/>
    </row>
    <row r="331" spans="9:9" ht="16" x14ac:dyDescent="0.2">
      <c r="I331" s="2"/>
    </row>
    <row r="332" spans="9:9" ht="16" x14ac:dyDescent="0.2">
      <c r="I332" s="2"/>
    </row>
    <row r="333" spans="9:9" ht="16" x14ac:dyDescent="0.2">
      <c r="I333" s="2"/>
    </row>
    <row r="334" spans="9:9" ht="16" x14ac:dyDescent="0.2">
      <c r="I334" s="2"/>
    </row>
    <row r="335" spans="9:9" ht="16" x14ac:dyDescent="0.2">
      <c r="I335" s="2"/>
    </row>
    <row r="336" spans="9:9" ht="16" x14ac:dyDescent="0.2">
      <c r="I336" s="2"/>
    </row>
    <row r="337" spans="9:9" ht="16" x14ac:dyDescent="0.2">
      <c r="I337" s="2"/>
    </row>
    <row r="338" spans="9:9" ht="16" x14ac:dyDescent="0.2">
      <c r="I338" s="2"/>
    </row>
    <row r="339" spans="9:9" ht="16" x14ac:dyDescent="0.2">
      <c r="I339" s="2"/>
    </row>
    <row r="340" spans="9:9" ht="16" x14ac:dyDescent="0.2">
      <c r="I340" s="2"/>
    </row>
    <row r="341" spans="9:9" ht="16" x14ac:dyDescent="0.2">
      <c r="I341" s="2"/>
    </row>
    <row r="342" spans="9:9" ht="16" x14ac:dyDescent="0.2">
      <c r="I342" s="2"/>
    </row>
    <row r="343" spans="9:9" ht="16" x14ac:dyDescent="0.2">
      <c r="I343" s="2"/>
    </row>
    <row r="344" spans="9:9" ht="16" x14ac:dyDescent="0.2">
      <c r="I344" s="2"/>
    </row>
    <row r="345" spans="9:9" ht="16" x14ac:dyDescent="0.2">
      <c r="I345" s="2"/>
    </row>
    <row r="346" spans="9:9" ht="16" x14ac:dyDescent="0.2">
      <c r="I346" s="2"/>
    </row>
    <row r="347" spans="9:9" ht="16" x14ac:dyDescent="0.2">
      <c r="I347" s="2"/>
    </row>
    <row r="348" spans="9:9" ht="16" x14ac:dyDescent="0.2">
      <c r="I348" s="2"/>
    </row>
    <row r="349" spans="9:9" ht="16" x14ac:dyDescent="0.2">
      <c r="I349" s="2"/>
    </row>
    <row r="350" spans="9:9" ht="16" x14ac:dyDescent="0.2">
      <c r="I350" s="2"/>
    </row>
    <row r="351" spans="9:9" ht="16" x14ac:dyDescent="0.2">
      <c r="I351" s="2"/>
    </row>
    <row r="352" spans="9:9" ht="16" x14ac:dyDescent="0.2">
      <c r="I352" s="2"/>
    </row>
    <row r="353" spans="9:9" ht="16" x14ac:dyDescent="0.2">
      <c r="I353" s="2"/>
    </row>
    <row r="354" spans="9:9" ht="16" x14ac:dyDescent="0.2">
      <c r="I354" s="2"/>
    </row>
    <row r="355" spans="9:9" ht="16" x14ac:dyDescent="0.2">
      <c r="I355" s="2"/>
    </row>
    <row r="356" spans="9:9" ht="16" x14ac:dyDescent="0.2">
      <c r="I356" s="2"/>
    </row>
    <row r="357" spans="9:9" ht="16" x14ac:dyDescent="0.2">
      <c r="I357" s="2"/>
    </row>
    <row r="358" spans="9:9" ht="16" x14ac:dyDescent="0.2">
      <c r="I358" s="2"/>
    </row>
    <row r="359" spans="9:9" ht="16" x14ac:dyDescent="0.2">
      <c r="I359" s="2"/>
    </row>
    <row r="360" spans="9:9" ht="16" x14ac:dyDescent="0.2">
      <c r="I360" s="2"/>
    </row>
    <row r="361" spans="9:9" ht="16" x14ac:dyDescent="0.2">
      <c r="I361" s="2"/>
    </row>
    <row r="362" spans="9:9" ht="16" x14ac:dyDescent="0.2">
      <c r="I362" s="2"/>
    </row>
    <row r="363" spans="9:9" ht="16" x14ac:dyDescent="0.2">
      <c r="I363" s="2"/>
    </row>
    <row r="364" spans="9:9" ht="16" x14ac:dyDescent="0.2">
      <c r="I364" s="2"/>
    </row>
    <row r="365" spans="9:9" ht="16" x14ac:dyDescent="0.2">
      <c r="I365" s="2"/>
    </row>
    <row r="366" spans="9:9" ht="16" x14ac:dyDescent="0.2">
      <c r="I366" s="2"/>
    </row>
    <row r="367" spans="9:9" ht="16" x14ac:dyDescent="0.2">
      <c r="I367" s="2"/>
    </row>
    <row r="368" spans="9:9" ht="16" x14ac:dyDescent="0.2">
      <c r="I368" s="2"/>
    </row>
    <row r="369" spans="9:9" ht="16" x14ac:dyDescent="0.2">
      <c r="I369" s="2"/>
    </row>
    <row r="370" spans="9:9" ht="16" x14ac:dyDescent="0.2">
      <c r="I370" s="2"/>
    </row>
    <row r="371" spans="9:9" ht="16" x14ac:dyDescent="0.2">
      <c r="I371" s="2"/>
    </row>
    <row r="372" spans="9:9" ht="16" x14ac:dyDescent="0.2">
      <c r="I372" s="2"/>
    </row>
    <row r="373" spans="9:9" ht="16" x14ac:dyDescent="0.2">
      <c r="I373" s="2"/>
    </row>
    <row r="374" spans="9:9" ht="16" x14ac:dyDescent="0.2">
      <c r="I374" s="2"/>
    </row>
    <row r="375" spans="9:9" ht="16" x14ac:dyDescent="0.2">
      <c r="I375" s="2"/>
    </row>
    <row r="376" spans="9:9" ht="16" x14ac:dyDescent="0.2">
      <c r="I376" s="2"/>
    </row>
    <row r="377" spans="9:9" ht="16" x14ac:dyDescent="0.2">
      <c r="I377" s="2"/>
    </row>
    <row r="378" spans="9:9" ht="16" x14ac:dyDescent="0.2">
      <c r="I378" s="2"/>
    </row>
    <row r="379" spans="9:9" ht="16" x14ac:dyDescent="0.2">
      <c r="I379" s="2"/>
    </row>
    <row r="380" spans="9:9" ht="16" x14ac:dyDescent="0.2">
      <c r="I380" s="2"/>
    </row>
    <row r="381" spans="9:9" ht="16" x14ac:dyDescent="0.2">
      <c r="I381" s="2"/>
    </row>
    <row r="382" spans="9:9" ht="16" x14ac:dyDescent="0.2">
      <c r="I382" s="2"/>
    </row>
    <row r="383" spans="9:9" ht="16" x14ac:dyDescent="0.2">
      <c r="I383" s="2"/>
    </row>
    <row r="384" spans="9:9" ht="16" x14ac:dyDescent="0.2">
      <c r="I384" s="2"/>
    </row>
    <row r="385" spans="9:9" ht="16" x14ac:dyDescent="0.2">
      <c r="I385" s="2"/>
    </row>
    <row r="386" spans="9:9" ht="16" x14ac:dyDescent="0.2">
      <c r="I386" s="2"/>
    </row>
    <row r="387" spans="9:9" ht="16" x14ac:dyDescent="0.2">
      <c r="I387" s="2"/>
    </row>
    <row r="388" spans="9:9" ht="16" x14ac:dyDescent="0.2">
      <c r="I388" s="2"/>
    </row>
    <row r="389" spans="9:9" ht="16" x14ac:dyDescent="0.2">
      <c r="I389" s="2"/>
    </row>
    <row r="390" spans="9:9" ht="16" x14ac:dyDescent="0.2">
      <c r="I390" s="2"/>
    </row>
    <row r="391" spans="9:9" ht="16" x14ac:dyDescent="0.2">
      <c r="I391" s="2"/>
    </row>
    <row r="392" spans="9:9" ht="16" x14ac:dyDescent="0.2">
      <c r="I392" s="2"/>
    </row>
    <row r="393" spans="9:9" ht="16" x14ac:dyDescent="0.2">
      <c r="I393" s="2"/>
    </row>
    <row r="394" spans="9:9" ht="16" x14ac:dyDescent="0.2">
      <c r="I394" s="2"/>
    </row>
    <row r="395" spans="9:9" ht="16" x14ac:dyDescent="0.2">
      <c r="I395" s="2"/>
    </row>
    <row r="396" spans="9:9" ht="16" x14ac:dyDescent="0.2">
      <c r="I396" s="2"/>
    </row>
    <row r="397" spans="9:9" ht="16" x14ac:dyDescent="0.2">
      <c r="I397" s="2"/>
    </row>
    <row r="398" spans="9:9" ht="16" x14ac:dyDescent="0.2">
      <c r="I398" s="2"/>
    </row>
    <row r="399" spans="9:9" ht="16" x14ac:dyDescent="0.2">
      <c r="I399" s="2"/>
    </row>
    <row r="400" spans="9:9" ht="16" x14ac:dyDescent="0.2">
      <c r="I400" s="2"/>
    </row>
    <row r="401" spans="9:9" ht="16" x14ac:dyDescent="0.2">
      <c r="I401" s="2"/>
    </row>
    <row r="402" spans="9:9" ht="16" x14ac:dyDescent="0.2">
      <c r="I402" s="2"/>
    </row>
    <row r="403" spans="9:9" ht="16" x14ac:dyDescent="0.2">
      <c r="I403" s="2"/>
    </row>
    <row r="404" spans="9:9" ht="16" x14ac:dyDescent="0.2">
      <c r="I404" s="2"/>
    </row>
    <row r="405" spans="9:9" ht="16" x14ac:dyDescent="0.2">
      <c r="I405" s="2"/>
    </row>
    <row r="406" spans="9:9" ht="16" x14ac:dyDescent="0.2">
      <c r="I406" s="2"/>
    </row>
    <row r="407" spans="9:9" ht="16" x14ac:dyDescent="0.2">
      <c r="I407" s="2"/>
    </row>
    <row r="408" spans="9:9" ht="16" x14ac:dyDescent="0.2">
      <c r="I408" s="2"/>
    </row>
    <row r="409" spans="9:9" ht="16" x14ac:dyDescent="0.2">
      <c r="I409" s="2"/>
    </row>
    <row r="410" spans="9:9" ht="16" x14ac:dyDescent="0.2">
      <c r="I410" s="2"/>
    </row>
    <row r="411" spans="9:9" ht="16" x14ac:dyDescent="0.2">
      <c r="I411" s="2"/>
    </row>
    <row r="412" spans="9:9" ht="16" x14ac:dyDescent="0.2">
      <c r="I412" s="2"/>
    </row>
    <row r="413" spans="9:9" ht="16" x14ac:dyDescent="0.2">
      <c r="I413" s="2"/>
    </row>
    <row r="414" spans="9:9" ht="16" x14ac:dyDescent="0.2">
      <c r="I414" s="2"/>
    </row>
    <row r="415" spans="9:9" ht="16" x14ac:dyDescent="0.2">
      <c r="I415" s="2"/>
    </row>
    <row r="416" spans="9:9" ht="16" x14ac:dyDescent="0.2">
      <c r="I416" s="2"/>
    </row>
    <row r="417" spans="9:9" ht="16" x14ac:dyDescent="0.2">
      <c r="I417" s="2"/>
    </row>
    <row r="418" spans="9:9" ht="16" x14ac:dyDescent="0.2">
      <c r="I418" s="2"/>
    </row>
    <row r="419" spans="9:9" ht="16" x14ac:dyDescent="0.2">
      <c r="I419" s="2"/>
    </row>
    <row r="420" spans="9:9" ht="16" x14ac:dyDescent="0.2">
      <c r="I420" s="2"/>
    </row>
    <row r="421" spans="9:9" ht="16" x14ac:dyDescent="0.2">
      <c r="I421" s="2"/>
    </row>
    <row r="422" spans="9:9" ht="16" x14ac:dyDescent="0.2">
      <c r="I422" s="2"/>
    </row>
    <row r="423" spans="9:9" ht="16" x14ac:dyDescent="0.2">
      <c r="I423" s="2"/>
    </row>
    <row r="424" spans="9:9" ht="16" x14ac:dyDescent="0.2">
      <c r="I424" s="2"/>
    </row>
    <row r="425" spans="9:9" ht="16" x14ac:dyDescent="0.2">
      <c r="I425" s="2"/>
    </row>
    <row r="426" spans="9:9" ht="16" x14ac:dyDescent="0.2">
      <c r="I426" s="2"/>
    </row>
    <row r="427" spans="9:9" ht="16" x14ac:dyDescent="0.2">
      <c r="I427" s="2"/>
    </row>
    <row r="428" spans="9:9" ht="16" x14ac:dyDescent="0.2">
      <c r="I428" s="2"/>
    </row>
    <row r="429" spans="9:9" ht="16" x14ac:dyDescent="0.2">
      <c r="I429" s="2"/>
    </row>
    <row r="430" spans="9:9" ht="16" x14ac:dyDescent="0.2">
      <c r="I430" s="2"/>
    </row>
    <row r="431" spans="9:9" ht="16" x14ac:dyDescent="0.2">
      <c r="I431" s="2"/>
    </row>
    <row r="432" spans="9:9" ht="16" x14ac:dyDescent="0.2">
      <c r="I432" s="2"/>
    </row>
    <row r="433" spans="9:9" ht="16" x14ac:dyDescent="0.2">
      <c r="I433" s="2"/>
    </row>
    <row r="434" spans="9:9" ht="16" x14ac:dyDescent="0.2">
      <c r="I434" s="2"/>
    </row>
    <row r="435" spans="9:9" ht="16" x14ac:dyDescent="0.2">
      <c r="I435" s="2"/>
    </row>
    <row r="436" spans="9:9" ht="16" x14ac:dyDescent="0.2">
      <c r="I436" s="2"/>
    </row>
    <row r="437" spans="9:9" ht="16" x14ac:dyDescent="0.2">
      <c r="I437" s="2"/>
    </row>
    <row r="438" spans="9:9" ht="16" x14ac:dyDescent="0.2">
      <c r="I438" s="2"/>
    </row>
    <row r="439" spans="9:9" ht="16" x14ac:dyDescent="0.2">
      <c r="I439" s="2"/>
    </row>
    <row r="440" spans="9:9" ht="16" x14ac:dyDescent="0.2">
      <c r="I440" s="2"/>
    </row>
    <row r="441" spans="9:9" ht="16" x14ac:dyDescent="0.2">
      <c r="I441" s="2"/>
    </row>
    <row r="442" spans="9:9" ht="16" x14ac:dyDescent="0.2">
      <c r="I442" s="2"/>
    </row>
    <row r="443" spans="9:9" ht="16" x14ac:dyDescent="0.2">
      <c r="I443" s="2"/>
    </row>
    <row r="444" spans="9:9" ht="16" x14ac:dyDescent="0.2">
      <c r="I444" s="2"/>
    </row>
    <row r="445" spans="9:9" ht="16" x14ac:dyDescent="0.2">
      <c r="I445" s="2"/>
    </row>
    <row r="446" spans="9:9" ht="16" x14ac:dyDescent="0.2">
      <c r="I446" s="2"/>
    </row>
    <row r="447" spans="9:9" ht="16" x14ac:dyDescent="0.2">
      <c r="I447" s="2"/>
    </row>
    <row r="448" spans="9:9" ht="16" x14ac:dyDescent="0.2">
      <c r="I448" s="2"/>
    </row>
    <row r="449" spans="9:9" ht="16" x14ac:dyDescent="0.2">
      <c r="I449" s="2"/>
    </row>
    <row r="450" spans="9:9" ht="16" x14ac:dyDescent="0.2">
      <c r="I450" s="2"/>
    </row>
    <row r="451" spans="9:9" ht="16" x14ac:dyDescent="0.2">
      <c r="I451" s="2"/>
    </row>
    <row r="452" spans="9:9" ht="16" x14ac:dyDescent="0.2">
      <c r="I452" s="2"/>
    </row>
    <row r="453" spans="9:9" ht="16" x14ac:dyDescent="0.2">
      <c r="I453" s="2"/>
    </row>
    <row r="454" spans="9:9" ht="16" x14ac:dyDescent="0.2">
      <c r="I454" s="2"/>
    </row>
    <row r="455" spans="9:9" ht="16" x14ac:dyDescent="0.2">
      <c r="I455" s="2"/>
    </row>
    <row r="456" spans="9:9" ht="16" x14ac:dyDescent="0.2">
      <c r="I456" s="2"/>
    </row>
    <row r="457" spans="9:9" ht="16" x14ac:dyDescent="0.2">
      <c r="I457" s="2"/>
    </row>
    <row r="458" spans="9:9" ht="16" x14ac:dyDescent="0.2">
      <c r="I458" s="2"/>
    </row>
    <row r="459" spans="9:9" ht="16" x14ac:dyDescent="0.2">
      <c r="I459" s="2"/>
    </row>
    <row r="460" spans="9:9" ht="16" x14ac:dyDescent="0.2">
      <c r="I460" s="2"/>
    </row>
    <row r="461" spans="9:9" ht="16" x14ac:dyDescent="0.2">
      <c r="I461" s="2"/>
    </row>
    <row r="462" spans="9:9" ht="16" x14ac:dyDescent="0.2">
      <c r="I462" s="2"/>
    </row>
    <row r="463" spans="9:9" ht="16" x14ac:dyDescent="0.2">
      <c r="I463" s="2"/>
    </row>
    <row r="464" spans="9:9" ht="16" x14ac:dyDescent="0.2">
      <c r="I464" s="2"/>
    </row>
    <row r="465" spans="9:9" ht="16" x14ac:dyDescent="0.2">
      <c r="I465" s="2"/>
    </row>
    <row r="466" spans="9:9" ht="16" x14ac:dyDescent="0.2">
      <c r="I466" s="2"/>
    </row>
    <row r="467" spans="9:9" ht="16" x14ac:dyDescent="0.2">
      <c r="I467" s="2"/>
    </row>
    <row r="468" spans="9:9" ht="16" x14ac:dyDescent="0.2">
      <c r="I468" s="2"/>
    </row>
    <row r="469" spans="9:9" ht="16" x14ac:dyDescent="0.2">
      <c r="I469" s="2"/>
    </row>
    <row r="470" spans="9:9" ht="16" x14ac:dyDescent="0.2">
      <c r="I470" s="2"/>
    </row>
    <row r="471" spans="9:9" ht="16" x14ac:dyDescent="0.2">
      <c r="I471" s="2"/>
    </row>
    <row r="472" spans="9:9" ht="16" x14ac:dyDescent="0.2">
      <c r="I472" s="2"/>
    </row>
    <row r="473" spans="9:9" ht="16" x14ac:dyDescent="0.2">
      <c r="I473" s="2"/>
    </row>
    <row r="474" spans="9:9" ht="16" x14ac:dyDescent="0.2">
      <c r="I474" s="2"/>
    </row>
    <row r="475" spans="9:9" ht="16" x14ac:dyDescent="0.2">
      <c r="I475" s="2"/>
    </row>
    <row r="476" spans="9:9" ht="16" x14ac:dyDescent="0.2">
      <c r="I476" s="2"/>
    </row>
    <row r="477" spans="9:9" ht="16" x14ac:dyDescent="0.2">
      <c r="I477" s="2"/>
    </row>
    <row r="478" spans="9:9" ht="16" x14ac:dyDescent="0.2">
      <c r="I478" s="2"/>
    </row>
    <row r="479" spans="9:9" ht="16" x14ac:dyDescent="0.2">
      <c r="I479" s="2"/>
    </row>
    <row r="480" spans="9:9" ht="16" x14ac:dyDescent="0.2">
      <c r="I480" s="2"/>
    </row>
    <row r="481" spans="9:9" ht="16" x14ac:dyDescent="0.2">
      <c r="I481" s="2"/>
    </row>
    <row r="482" spans="9:9" ht="16" x14ac:dyDescent="0.2">
      <c r="I482" s="2"/>
    </row>
    <row r="483" spans="9:9" ht="16" x14ac:dyDescent="0.2">
      <c r="I483" s="2"/>
    </row>
    <row r="484" spans="9:9" ht="16" x14ac:dyDescent="0.2">
      <c r="I484" s="2"/>
    </row>
    <row r="485" spans="9:9" ht="16" x14ac:dyDescent="0.2">
      <c r="I485" s="2"/>
    </row>
    <row r="486" spans="9:9" ht="16" x14ac:dyDescent="0.2">
      <c r="I486" s="2"/>
    </row>
    <row r="487" spans="9:9" ht="16" x14ac:dyDescent="0.2">
      <c r="I487" s="2"/>
    </row>
    <row r="488" spans="9:9" ht="16" x14ac:dyDescent="0.2">
      <c r="I488" s="2"/>
    </row>
    <row r="489" spans="9:9" ht="16" x14ac:dyDescent="0.2">
      <c r="I489" s="2"/>
    </row>
    <row r="490" spans="9:9" ht="16" x14ac:dyDescent="0.2">
      <c r="I490" s="2"/>
    </row>
    <row r="491" spans="9:9" ht="16" x14ac:dyDescent="0.2">
      <c r="I491" s="2"/>
    </row>
    <row r="492" spans="9:9" ht="16" x14ac:dyDescent="0.2">
      <c r="I492" s="2"/>
    </row>
    <row r="493" spans="9:9" ht="16" x14ac:dyDescent="0.2">
      <c r="I493" s="2"/>
    </row>
    <row r="494" spans="9:9" ht="16" x14ac:dyDescent="0.2">
      <c r="I494" s="2"/>
    </row>
    <row r="495" spans="9:9" ht="16" x14ac:dyDescent="0.2">
      <c r="I495" s="2"/>
    </row>
    <row r="496" spans="9:9" ht="16" x14ac:dyDescent="0.2">
      <c r="I496" s="2"/>
    </row>
    <row r="497" spans="9:9" ht="16" x14ac:dyDescent="0.2">
      <c r="I497" s="2"/>
    </row>
    <row r="498" spans="9:9" ht="16" x14ac:dyDescent="0.2">
      <c r="I498" s="2"/>
    </row>
    <row r="499" spans="9:9" ht="16" x14ac:dyDescent="0.2">
      <c r="I499" s="2"/>
    </row>
    <row r="500" spans="9:9" ht="16" x14ac:dyDescent="0.2">
      <c r="I500" s="2"/>
    </row>
    <row r="501" spans="9:9" ht="16" x14ac:dyDescent="0.2">
      <c r="I501" s="2"/>
    </row>
    <row r="502" spans="9:9" ht="16" x14ac:dyDescent="0.2">
      <c r="I502" s="2"/>
    </row>
    <row r="503" spans="9:9" ht="16" x14ac:dyDescent="0.2">
      <c r="I503" s="2"/>
    </row>
    <row r="504" spans="9:9" ht="16" x14ac:dyDescent="0.2">
      <c r="I504" s="2"/>
    </row>
    <row r="505" spans="9:9" ht="16" x14ac:dyDescent="0.2">
      <c r="I505" s="2"/>
    </row>
    <row r="506" spans="9:9" ht="16" x14ac:dyDescent="0.2">
      <c r="I506" s="2"/>
    </row>
    <row r="507" spans="9:9" ht="16" x14ac:dyDescent="0.2">
      <c r="I507" s="2"/>
    </row>
    <row r="508" spans="9:9" ht="16" x14ac:dyDescent="0.2">
      <c r="I508" s="2"/>
    </row>
    <row r="509" spans="9:9" ht="16" x14ac:dyDescent="0.2">
      <c r="I509" s="2"/>
    </row>
    <row r="510" spans="9:9" ht="16" x14ac:dyDescent="0.2">
      <c r="I510" s="2"/>
    </row>
    <row r="511" spans="9:9" ht="16" x14ac:dyDescent="0.2">
      <c r="I511" s="2"/>
    </row>
    <row r="512" spans="9:9" ht="16" x14ac:dyDescent="0.2">
      <c r="I512" s="2"/>
    </row>
    <row r="513" spans="9:9" ht="16" x14ac:dyDescent="0.2">
      <c r="I513" s="2"/>
    </row>
    <row r="514" spans="9:9" ht="16" x14ac:dyDescent="0.2">
      <c r="I514" s="2"/>
    </row>
    <row r="515" spans="9:9" ht="16" x14ac:dyDescent="0.2">
      <c r="I515" s="2"/>
    </row>
    <row r="516" spans="9:9" ht="16" x14ac:dyDescent="0.2">
      <c r="I516" s="2"/>
    </row>
    <row r="517" spans="9:9" ht="16" x14ac:dyDescent="0.2">
      <c r="I517" s="2"/>
    </row>
    <row r="518" spans="9:9" ht="16" x14ac:dyDescent="0.2">
      <c r="I518" s="2"/>
    </row>
    <row r="519" spans="9:9" ht="16" x14ac:dyDescent="0.2">
      <c r="I519" s="2"/>
    </row>
    <row r="520" spans="9:9" ht="16" x14ac:dyDescent="0.2">
      <c r="I520" s="2"/>
    </row>
    <row r="521" spans="9:9" ht="16" x14ac:dyDescent="0.2">
      <c r="I521" s="2"/>
    </row>
    <row r="522" spans="9:9" ht="16" x14ac:dyDescent="0.2">
      <c r="I522" s="2"/>
    </row>
    <row r="523" spans="9:9" ht="16" x14ac:dyDescent="0.2">
      <c r="I523" s="2"/>
    </row>
    <row r="524" spans="9:9" ht="16" x14ac:dyDescent="0.2">
      <c r="I524" s="2"/>
    </row>
    <row r="525" spans="9:9" ht="16" x14ac:dyDescent="0.2">
      <c r="I525" s="2"/>
    </row>
    <row r="526" spans="9:9" ht="16" x14ac:dyDescent="0.2">
      <c r="I526" s="2"/>
    </row>
    <row r="527" spans="9:9" ht="16" x14ac:dyDescent="0.2">
      <c r="I527" s="2"/>
    </row>
    <row r="528" spans="9:9" ht="16" x14ac:dyDescent="0.2">
      <c r="I528" s="2"/>
    </row>
    <row r="529" spans="9:9" ht="16" x14ac:dyDescent="0.2">
      <c r="I529" s="2"/>
    </row>
    <row r="530" spans="9:9" ht="16" x14ac:dyDescent="0.2">
      <c r="I530" s="2"/>
    </row>
    <row r="531" spans="9:9" ht="16" x14ac:dyDescent="0.2">
      <c r="I531" s="2"/>
    </row>
    <row r="532" spans="9:9" ht="16" x14ac:dyDescent="0.2">
      <c r="I532" s="2"/>
    </row>
    <row r="533" spans="9:9" ht="16" x14ac:dyDescent="0.2">
      <c r="I533" s="2"/>
    </row>
    <row r="534" spans="9:9" ht="16" x14ac:dyDescent="0.2">
      <c r="I534" s="2"/>
    </row>
    <row r="535" spans="9:9" ht="16" x14ac:dyDescent="0.2">
      <c r="I535" s="2"/>
    </row>
    <row r="536" spans="9:9" ht="16" x14ac:dyDescent="0.2">
      <c r="I536" s="2"/>
    </row>
    <row r="537" spans="9:9" ht="16" x14ac:dyDescent="0.2">
      <c r="I537" s="2"/>
    </row>
    <row r="538" spans="9:9" ht="16" x14ac:dyDescent="0.2">
      <c r="I538" s="2"/>
    </row>
    <row r="539" spans="9:9" ht="16" x14ac:dyDescent="0.2">
      <c r="I539" s="2"/>
    </row>
    <row r="540" spans="9:9" ht="16" x14ac:dyDescent="0.2">
      <c r="I540" s="2"/>
    </row>
    <row r="541" spans="9:9" ht="16" x14ac:dyDescent="0.2">
      <c r="I541" s="2"/>
    </row>
    <row r="542" spans="9:9" ht="16" x14ac:dyDescent="0.2">
      <c r="I542" s="2"/>
    </row>
    <row r="543" spans="9:9" ht="16" x14ac:dyDescent="0.2">
      <c r="I543" s="2"/>
    </row>
    <row r="544" spans="9:9" ht="16" x14ac:dyDescent="0.2">
      <c r="I544" s="2"/>
    </row>
    <row r="545" spans="9:9" ht="16" x14ac:dyDescent="0.2">
      <c r="I545" s="2"/>
    </row>
    <row r="546" spans="9:9" ht="16" x14ac:dyDescent="0.2">
      <c r="I546" s="2"/>
    </row>
    <row r="547" spans="9:9" ht="16" x14ac:dyDescent="0.2">
      <c r="I547" s="2"/>
    </row>
    <row r="548" spans="9:9" ht="16" x14ac:dyDescent="0.2">
      <c r="I548" s="2"/>
    </row>
    <row r="549" spans="9:9" ht="16" x14ac:dyDescent="0.2">
      <c r="I549" s="2"/>
    </row>
    <row r="550" spans="9:9" ht="16" x14ac:dyDescent="0.2">
      <c r="I550" s="2"/>
    </row>
    <row r="551" spans="9:9" ht="16" x14ac:dyDescent="0.2">
      <c r="I551" s="2"/>
    </row>
    <row r="552" spans="9:9" ht="16" x14ac:dyDescent="0.2">
      <c r="I552" s="2"/>
    </row>
    <row r="553" spans="9:9" ht="16" x14ac:dyDescent="0.2">
      <c r="I553" s="2"/>
    </row>
    <row r="554" spans="9:9" ht="16" x14ac:dyDescent="0.2">
      <c r="I554" s="2"/>
    </row>
    <row r="555" spans="9:9" ht="16" x14ac:dyDescent="0.2">
      <c r="I555" s="2"/>
    </row>
    <row r="556" spans="9:9" ht="16" x14ac:dyDescent="0.2">
      <c r="I556" s="2"/>
    </row>
    <row r="557" spans="9:9" ht="16" x14ac:dyDescent="0.2">
      <c r="I557" s="2"/>
    </row>
    <row r="558" spans="9:9" ht="16" x14ac:dyDescent="0.2">
      <c r="I558" s="2"/>
    </row>
    <row r="559" spans="9:9" ht="16" x14ac:dyDescent="0.2">
      <c r="I559" s="2"/>
    </row>
    <row r="560" spans="9:9" ht="16" x14ac:dyDescent="0.2">
      <c r="I560" s="2"/>
    </row>
    <row r="561" spans="9:9" ht="16" x14ac:dyDescent="0.2">
      <c r="I561" s="2"/>
    </row>
    <row r="562" spans="9:9" ht="16" x14ac:dyDescent="0.2">
      <c r="I562" s="2"/>
    </row>
    <row r="563" spans="9:9" ht="16" x14ac:dyDescent="0.2">
      <c r="I563" s="2"/>
    </row>
    <row r="564" spans="9:9" ht="16" x14ac:dyDescent="0.2">
      <c r="I564" s="2"/>
    </row>
    <row r="565" spans="9:9" ht="16" x14ac:dyDescent="0.2">
      <c r="I565" s="2"/>
    </row>
    <row r="566" spans="9:9" ht="16" x14ac:dyDescent="0.2">
      <c r="I566" s="2"/>
    </row>
    <row r="567" spans="9:9" ht="16" x14ac:dyDescent="0.2">
      <c r="I567" s="2"/>
    </row>
    <row r="568" spans="9:9" ht="16" x14ac:dyDescent="0.2">
      <c r="I568" s="2"/>
    </row>
    <row r="569" spans="9:9" ht="16" x14ac:dyDescent="0.2">
      <c r="I569" s="2"/>
    </row>
    <row r="570" spans="9:9" ht="16" x14ac:dyDescent="0.2">
      <c r="I570" s="2"/>
    </row>
    <row r="571" spans="9:9" ht="16" x14ac:dyDescent="0.2">
      <c r="I571" s="2"/>
    </row>
    <row r="572" spans="9:9" ht="16" x14ac:dyDescent="0.2">
      <c r="I572" s="2"/>
    </row>
    <row r="573" spans="9:9" ht="16" x14ac:dyDescent="0.2">
      <c r="I573" s="2"/>
    </row>
    <row r="574" spans="9:9" ht="16" x14ac:dyDescent="0.2">
      <c r="I574" s="2"/>
    </row>
    <row r="575" spans="9:9" ht="16" x14ac:dyDescent="0.2">
      <c r="I575" s="2"/>
    </row>
    <row r="576" spans="9:9" ht="16" x14ac:dyDescent="0.2">
      <c r="I576" s="2"/>
    </row>
    <row r="577" spans="9:9" ht="16" x14ac:dyDescent="0.2">
      <c r="I577" s="2"/>
    </row>
    <row r="578" spans="9:9" ht="16" x14ac:dyDescent="0.2">
      <c r="I578" s="2"/>
    </row>
    <row r="579" spans="9:9" ht="16" x14ac:dyDescent="0.2">
      <c r="I579" s="2"/>
    </row>
    <row r="580" spans="9:9" ht="16" x14ac:dyDescent="0.2">
      <c r="I580" s="2"/>
    </row>
    <row r="581" spans="9:9" ht="16" x14ac:dyDescent="0.2">
      <c r="I581" s="2"/>
    </row>
    <row r="582" spans="9:9" ht="16" x14ac:dyDescent="0.2">
      <c r="I582" s="2"/>
    </row>
    <row r="583" spans="9:9" ht="16" x14ac:dyDescent="0.2">
      <c r="I583" s="2"/>
    </row>
    <row r="584" spans="9:9" ht="16" x14ac:dyDescent="0.2">
      <c r="I584" s="2"/>
    </row>
    <row r="585" spans="9:9" ht="16" x14ac:dyDescent="0.2">
      <c r="I585" s="2"/>
    </row>
    <row r="586" spans="9:9" ht="16" x14ac:dyDescent="0.2">
      <c r="I586" s="2"/>
    </row>
    <row r="587" spans="9:9" ht="16" x14ac:dyDescent="0.2">
      <c r="I587" s="2"/>
    </row>
    <row r="588" spans="9:9" ht="16" x14ac:dyDescent="0.2">
      <c r="I588" s="2"/>
    </row>
    <row r="589" spans="9:9" ht="16" x14ac:dyDescent="0.2">
      <c r="I589" s="2"/>
    </row>
    <row r="590" spans="9:9" ht="16" x14ac:dyDescent="0.2">
      <c r="I590" s="2"/>
    </row>
    <row r="591" spans="9:9" ht="16" x14ac:dyDescent="0.2">
      <c r="I591" s="2"/>
    </row>
    <row r="592" spans="9:9" ht="16" x14ac:dyDescent="0.2">
      <c r="I592" s="2"/>
    </row>
    <row r="593" spans="9:9" ht="16" x14ac:dyDescent="0.2">
      <c r="I593" s="2"/>
    </row>
    <row r="594" spans="9:9" ht="16" x14ac:dyDescent="0.2">
      <c r="I594" s="2"/>
    </row>
    <row r="595" spans="9:9" ht="16" x14ac:dyDescent="0.2">
      <c r="I595" s="2"/>
    </row>
    <row r="596" spans="9:9" ht="16" x14ac:dyDescent="0.2">
      <c r="I596" s="2"/>
    </row>
    <row r="597" spans="9:9" ht="16" x14ac:dyDescent="0.2">
      <c r="I597" s="2"/>
    </row>
    <row r="598" spans="9:9" ht="16" x14ac:dyDescent="0.2">
      <c r="I598" s="2"/>
    </row>
    <row r="599" spans="9:9" ht="16" x14ac:dyDescent="0.2">
      <c r="I599" s="2"/>
    </row>
    <row r="600" spans="9:9" ht="16" x14ac:dyDescent="0.2">
      <c r="I600" s="2"/>
    </row>
    <row r="601" spans="9:9" ht="16" x14ac:dyDescent="0.2">
      <c r="I601" s="2"/>
    </row>
    <row r="602" spans="9:9" ht="16" x14ac:dyDescent="0.2">
      <c r="I602" s="2"/>
    </row>
    <row r="603" spans="9:9" ht="16" x14ac:dyDescent="0.2">
      <c r="I603" s="2"/>
    </row>
    <row r="604" spans="9:9" ht="16" x14ac:dyDescent="0.2">
      <c r="I604" s="2"/>
    </row>
    <row r="605" spans="9:9" ht="16" x14ac:dyDescent="0.2">
      <c r="I605" s="2"/>
    </row>
    <row r="606" spans="9:9" ht="16" x14ac:dyDescent="0.2">
      <c r="I606" s="2"/>
    </row>
    <row r="607" spans="9:9" ht="16" x14ac:dyDescent="0.2">
      <c r="I607" s="2"/>
    </row>
    <row r="608" spans="9:9" ht="16" x14ac:dyDescent="0.2">
      <c r="I608" s="2"/>
    </row>
    <row r="609" spans="9:9" ht="16" x14ac:dyDescent="0.2">
      <c r="I609" s="2"/>
    </row>
    <row r="610" spans="9:9" ht="16" x14ac:dyDescent="0.2">
      <c r="I610" s="2"/>
    </row>
    <row r="611" spans="9:9" ht="16" x14ac:dyDescent="0.2">
      <c r="I611" s="2"/>
    </row>
    <row r="612" spans="9:9" ht="16" x14ac:dyDescent="0.2">
      <c r="I612" s="2"/>
    </row>
    <row r="613" spans="9:9" ht="16" x14ac:dyDescent="0.2">
      <c r="I613" s="2"/>
    </row>
    <row r="614" spans="9:9" ht="16" x14ac:dyDescent="0.2">
      <c r="I614" s="2"/>
    </row>
    <row r="615" spans="9:9" ht="16" x14ac:dyDescent="0.2">
      <c r="I615" s="2"/>
    </row>
    <row r="616" spans="9:9" ht="16" x14ac:dyDescent="0.2">
      <c r="I616" s="2"/>
    </row>
    <row r="617" spans="9:9" ht="16" x14ac:dyDescent="0.2">
      <c r="I617" s="2"/>
    </row>
    <row r="618" spans="9:9" ht="16" x14ac:dyDescent="0.2">
      <c r="I618" s="2"/>
    </row>
    <row r="619" spans="9:9" ht="16" x14ac:dyDescent="0.2">
      <c r="I619" s="2"/>
    </row>
    <row r="620" spans="9:9" ht="16" x14ac:dyDescent="0.2">
      <c r="I620" s="2"/>
    </row>
    <row r="621" spans="9:9" ht="16" x14ac:dyDescent="0.2">
      <c r="I621" s="2"/>
    </row>
    <row r="622" spans="9:9" ht="16" x14ac:dyDescent="0.2">
      <c r="I622" s="2"/>
    </row>
    <row r="623" spans="9:9" ht="16" x14ac:dyDescent="0.2">
      <c r="I623" s="2"/>
    </row>
    <row r="624" spans="9:9" ht="16" x14ac:dyDescent="0.2">
      <c r="I624" s="2"/>
    </row>
    <row r="625" spans="9:9" ht="16" x14ac:dyDescent="0.2">
      <c r="I625" s="2"/>
    </row>
    <row r="626" spans="9:9" ht="16" x14ac:dyDescent="0.2">
      <c r="I626" s="2"/>
    </row>
    <row r="627" spans="9:9" ht="16" x14ac:dyDescent="0.2">
      <c r="I627" s="2"/>
    </row>
  </sheetData>
  <sheetProtection selectLockedCells="1"/>
  <printOptions horizontalCentered="1"/>
  <pageMargins left="0.75" right="0.75" top="0.75" bottom="0.75" header="0.74" footer="0.61"/>
  <pageSetup scale="56" fitToHeight="2" orientation="portrait" r:id="rId1"/>
  <headerFooter alignWithMargins="0"/>
  <rowBreaks count="1" manualBreakCount="1">
    <brk id="9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9E51E-7D2F-4997-A58D-6D2756BBA4D1}">
  <dimension ref="A1:B14"/>
  <sheetViews>
    <sheetView workbookViewId="0">
      <selection activeCell="B15" sqref="B15"/>
    </sheetView>
  </sheetViews>
  <sheetFormatPr baseColWidth="10" defaultColWidth="8.83203125" defaultRowHeight="13" x14ac:dyDescent="0.15"/>
  <cols>
    <col min="1" max="1" width="6.5" customWidth="1"/>
  </cols>
  <sheetData>
    <row r="1" spans="1:2" ht="26" x14ac:dyDescent="0.3">
      <c r="A1" s="115" t="s">
        <v>136</v>
      </c>
    </row>
    <row r="3" spans="1:2" x14ac:dyDescent="0.15">
      <c r="A3" s="116">
        <v>1</v>
      </c>
      <c r="B3" s="116" t="s">
        <v>143</v>
      </c>
    </row>
    <row r="4" spans="1:2" x14ac:dyDescent="0.15">
      <c r="A4" s="116">
        <v>2</v>
      </c>
      <c r="B4" t="s">
        <v>137</v>
      </c>
    </row>
    <row r="5" spans="1:2" x14ac:dyDescent="0.15">
      <c r="A5" s="116">
        <v>3</v>
      </c>
      <c r="B5" t="s">
        <v>145</v>
      </c>
    </row>
    <row r="6" spans="1:2" x14ac:dyDescent="0.15">
      <c r="A6" s="116">
        <v>4</v>
      </c>
      <c r="B6" t="s">
        <v>146</v>
      </c>
    </row>
    <row r="7" spans="1:2" x14ac:dyDescent="0.15">
      <c r="A7" s="116">
        <v>5</v>
      </c>
      <c r="B7" t="s">
        <v>138</v>
      </c>
    </row>
    <row r="8" spans="1:2" x14ac:dyDescent="0.15">
      <c r="A8" s="116">
        <v>6</v>
      </c>
      <c r="B8" t="s">
        <v>147</v>
      </c>
    </row>
    <row r="9" spans="1:2" x14ac:dyDescent="0.15">
      <c r="A9" s="116">
        <v>7</v>
      </c>
      <c r="B9" t="s">
        <v>148</v>
      </c>
    </row>
    <row r="10" spans="1:2" x14ac:dyDescent="0.15">
      <c r="A10" s="116">
        <v>9</v>
      </c>
      <c r="B10" t="s">
        <v>139</v>
      </c>
    </row>
    <row r="11" spans="1:2" x14ac:dyDescent="0.15">
      <c r="A11" s="116">
        <v>10</v>
      </c>
      <c r="B11" t="s">
        <v>140</v>
      </c>
    </row>
    <row r="12" spans="1:2" x14ac:dyDescent="0.15">
      <c r="A12" s="116">
        <v>11</v>
      </c>
      <c r="B12" t="s">
        <v>141</v>
      </c>
    </row>
    <row r="13" spans="1:2" x14ac:dyDescent="0.15">
      <c r="A13" s="116">
        <v>12</v>
      </c>
      <c r="B13" t="s">
        <v>142</v>
      </c>
    </row>
    <row r="14" spans="1:2" x14ac:dyDescent="0.15">
      <c r="A14" s="116">
        <v>13</v>
      </c>
      <c r="B14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Grz Stkpiled Fes 2023</vt:lpstr>
      <vt:lpstr>Notes and Assumptions</vt:lpstr>
      <vt:lpstr>'Grz Stkpiled Fes 2023'!\AUTOEXEC</vt:lpstr>
      <vt:lpstr>'Grz Stkpiled Fes 2023'!\l</vt:lpstr>
      <vt:lpstr>'Grz Stkpiled Fes 2023'!\p</vt:lpstr>
      <vt:lpstr>'Grz Stkpiled Fes 2023'!BTABLE</vt:lpstr>
      <vt:lpstr>'Grz Stkpiled Fes 2023'!BTABLE1</vt:lpstr>
      <vt:lpstr>'Grz Stkpiled Fes 2023'!FOOT</vt:lpstr>
      <vt:lpstr>'Grz Stkpiled Fes 2023'!FOOT1</vt:lpstr>
      <vt:lpstr>'Grz Stkpiled Fes 2023'!HELP</vt:lpstr>
      <vt:lpstr>'Grz Stkpiled Fes 2023'!INVEST</vt:lpstr>
      <vt:lpstr>'Grz Stkpiled Fes 2023'!Print_Area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Kelley</dc:creator>
  <cp:lastModifiedBy>Deborah Choi</cp:lastModifiedBy>
  <dcterms:created xsi:type="dcterms:W3CDTF">2017-08-28T17:52:33Z</dcterms:created>
  <dcterms:modified xsi:type="dcterms:W3CDTF">2023-08-25T14:51:13Z</dcterms:modified>
</cp:coreProperties>
</file>