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trlProps/ctrlProp1.xml" ContentType="application/vnd.ms-excel.controlproperties+xml"/>
  <Override PartName="/xl/comments1.xml" ContentType="application/vnd.openxmlformats-officedocument.spreadsheetml.comments+xml"/>
  <Override PartName="/xl/drawings/drawing3.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11010"/>
  <workbookPr codeName="ThisWorkbook"/>
  <mc:AlternateContent xmlns:mc="http://schemas.openxmlformats.org/markup-compatibility/2006">
    <mc:Choice Requires="x15">
      <x15ac:absPath xmlns:x15ac="http://schemas.microsoft.com/office/spreadsheetml/2010/11/ac" url="/Users/klw0028/Documents/"/>
    </mc:Choice>
  </mc:AlternateContent>
  <xr:revisionPtr revIDLastSave="0" documentId="13_ncr:1_{1FF1EAB7-5B88-2C43-A09A-C08BFBF0F6A9}" xr6:coauthVersionLast="47" xr6:coauthVersionMax="47" xr10:uidLastSave="{00000000-0000-0000-0000-000000000000}"/>
  <bookViews>
    <workbookView xWindow="13300" yWindow="3920" windowWidth="25440" windowHeight="15400" tabRatio="805" activeTab="3" xr2:uid="{00000000-000D-0000-FFFF-FFFF00000000}"/>
  </bookViews>
  <sheets>
    <sheet name=" Menu" sheetId="5" r:id="rId1"/>
    <sheet name="Budget Notes" sheetId="8" state="hidden" r:id="rId2"/>
    <sheet name="INPUT SHEET" sheetId="4" r:id="rId3"/>
    <sheet name="YOUR Enterprise Budget" sheetId="1" r:id="rId4"/>
  </sheets>
  <definedNames>
    <definedName name="_xlnm.Print_Area" localSheetId="2">'INPUT SHEET'!$A$2:$V$40</definedName>
    <definedName name="_xlnm.Print_Area" localSheetId="3">'YOUR Enterprise Budget'!$A$2:$M$125</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E7" i="1" l="1"/>
  <c r="J7" i="1"/>
  <c r="E8" i="1"/>
  <c r="J8" i="1"/>
  <c r="J9" i="1"/>
  <c r="I13" i="1"/>
  <c r="I14" i="1"/>
  <c r="I15" i="1"/>
  <c r="J15" i="1" s="1"/>
  <c r="K15" i="1" s="1"/>
  <c r="H16" i="1"/>
  <c r="I16" i="1"/>
  <c r="J16" i="1" s="1"/>
  <c r="K16" i="1" s="1"/>
  <c r="H17" i="1"/>
  <c r="I17" i="1"/>
  <c r="J17" i="1" s="1"/>
  <c r="K17" i="1" s="1"/>
  <c r="H23" i="1"/>
  <c r="J23" i="1" s="1"/>
  <c r="K23" i="1" s="1"/>
  <c r="I23" i="1"/>
  <c r="H24" i="1"/>
  <c r="I24" i="1"/>
  <c r="H25" i="1"/>
  <c r="J25" i="1" s="1"/>
  <c r="K25" i="1" s="1"/>
  <c r="I25" i="1"/>
  <c r="H26" i="1"/>
  <c r="I26" i="1"/>
  <c r="J26" i="1"/>
  <c r="K26" i="1" s="1"/>
  <c r="H28" i="1"/>
  <c r="J28" i="1" s="1"/>
  <c r="K28" i="1" s="1"/>
  <c r="I28" i="1"/>
  <c r="H29" i="1"/>
  <c r="I29" i="1"/>
  <c r="J29" i="1"/>
  <c r="K29" i="1"/>
  <c r="I30" i="1"/>
  <c r="I31" i="1"/>
  <c r="J31" i="1"/>
  <c r="K31" i="1"/>
  <c r="H33" i="1"/>
  <c r="I33" i="1"/>
  <c r="J33" i="1" s="1"/>
  <c r="K33" i="1" s="1"/>
  <c r="I34" i="1"/>
  <c r="I35" i="1"/>
  <c r="J35" i="1"/>
  <c r="K35" i="1"/>
  <c r="I36" i="1"/>
  <c r="J36" i="1"/>
  <c r="K36" i="1"/>
  <c r="I37" i="1"/>
  <c r="H38" i="1"/>
  <c r="I38" i="1"/>
  <c r="J38" i="1"/>
  <c r="K38" i="1"/>
  <c r="I39" i="1"/>
  <c r="J39" i="1"/>
  <c r="K39" i="1"/>
  <c r="I40" i="1"/>
  <c r="J40" i="1"/>
  <c r="K40" i="1"/>
  <c r="H42" i="1"/>
  <c r="J42" i="1" s="1"/>
  <c r="K42" i="1" s="1"/>
  <c r="I42" i="1"/>
  <c r="F74" i="1"/>
  <c r="G74" i="1"/>
  <c r="H74" i="1" s="1"/>
  <c r="T73" i="1" s="1"/>
  <c r="J74" i="1"/>
  <c r="F75" i="1"/>
  <c r="I75" i="1"/>
  <c r="G75" i="1"/>
  <c r="H75" i="1" s="1"/>
  <c r="T74" i="1" s="1"/>
  <c r="J75" i="1"/>
  <c r="F78" i="1"/>
  <c r="H78" i="1"/>
  <c r="G78" i="1"/>
  <c r="J78" i="1"/>
  <c r="G79" i="1"/>
  <c r="J79" i="1"/>
  <c r="G80" i="1"/>
  <c r="H80" i="1"/>
  <c r="I80" i="1"/>
  <c r="J80" i="1"/>
  <c r="H53" i="1"/>
  <c r="I53" i="1"/>
  <c r="J53" i="1" s="1"/>
  <c r="K53" i="1" s="1"/>
  <c r="I54" i="1"/>
  <c r="C65" i="1"/>
  <c r="F14" i="4"/>
  <c r="H30" i="1"/>
  <c r="J30" i="1"/>
  <c r="K30" i="1"/>
  <c r="F16" i="4"/>
  <c r="F15" i="4"/>
  <c r="E9" i="1"/>
  <c r="J149" i="1"/>
  <c r="J150" i="1" s="1"/>
  <c r="J151" i="1" s="1"/>
  <c r="J152" i="1" s="1"/>
  <c r="F79" i="1" s="1"/>
  <c r="H79" i="1" s="1"/>
  <c r="F29" i="4"/>
  <c r="H14" i="1"/>
  <c r="J14" i="1"/>
  <c r="K14" i="1" s="1"/>
  <c r="F30" i="4"/>
  <c r="H15" i="1"/>
  <c r="S73" i="1"/>
  <c r="S74" i="1"/>
  <c r="S78" i="1"/>
  <c r="S77" i="1"/>
  <c r="S79" i="1"/>
  <c r="T79" i="1"/>
  <c r="J154" i="1"/>
  <c r="H164" i="1"/>
  <c r="F20" i="4"/>
  <c r="F24" i="4"/>
  <c r="F22" i="4"/>
  <c r="K80" i="1"/>
  <c r="R79" i="1"/>
  <c r="T77" i="1"/>
  <c r="I78" i="1"/>
  <c r="R77" i="1"/>
  <c r="K78" i="1"/>
  <c r="I74" i="1"/>
  <c r="H13" i="1"/>
  <c r="J13" i="1"/>
  <c r="H34" i="1"/>
  <c r="J34" i="1"/>
  <c r="K34" i="1"/>
  <c r="K13" i="1"/>
  <c r="J24" i="1" l="1"/>
  <c r="K24" i="1" s="1"/>
  <c r="J156" i="1"/>
  <c r="T78" i="1"/>
  <c r="I52" i="1" s="1"/>
  <c r="J52" i="1" s="1"/>
  <c r="K52" i="1" s="1"/>
  <c r="I79" i="1"/>
  <c r="R78" i="1" s="1"/>
  <c r="K74" i="1"/>
  <c r="I51" i="1"/>
  <c r="J51" i="1" s="1"/>
  <c r="K51" i="1" s="1"/>
  <c r="R74" i="1"/>
  <c r="R73" i="1"/>
  <c r="K75" i="1"/>
  <c r="K19" i="1"/>
  <c r="G41" i="4" s="1"/>
  <c r="J19" i="1"/>
  <c r="F41" i="4" s="1"/>
  <c r="H37" i="1" l="1"/>
  <c r="J37" i="1"/>
  <c r="K37" i="1" s="1"/>
  <c r="K44" i="1" s="1"/>
  <c r="K79" i="1"/>
  <c r="I50" i="1" s="1"/>
  <c r="J50" i="1" s="1"/>
  <c r="K50" i="1" s="1"/>
  <c r="I49" i="1"/>
  <c r="J49" i="1" s="1"/>
  <c r="K49" i="1" s="1"/>
  <c r="G43" i="4" l="1"/>
  <c r="K46" i="1"/>
  <c r="G45" i="4" s="1"/>
  <c r="J44" i="1"/>
  <c r="H92" i="1" s="1"/>
  <c r="H96" i="1" l="1"/>
  <c r="H91" i="1"/>
  <c r="F43" i="4"/>
  <c r="H90" i="1"/>
  <c r="H93" i="1"/>
  <c r="H54" i="1"/>
  <c r="J54" i="1" s="1"/>
  <c r="H98" i="1"/>
  <c r="J46" i="1"/>
  <c r="F45" i="4" s="1"/>
  <c r="H94" i="1" l="1"/>
  <c r="K54" i="1"/>
  <c r="K56" i="1" s="1"/>
  <c r="J56" i="1"/>
  <c r="I103" i="1" l="1"/>
  <c r="J92" i="1"/>
  <c r="I104" i="1"/>
  <c r="J93" i="1"/>
  <c r="J103" i="1"/>
  <c r="J96" i="1"/>
  <c r="J104" i="1"/>
  <c r="J91" i="1"/>
  <c r="J102" i="1"/>
  <c r="I105" i="1"/>
  <c r="J90" i="1"/>
  <c r="I106" i="1"/>
  <c r="J107" i="1"/>
  <c r="J58" i="1"/>
  <c r="F49" i="4" s="1"/>
  <c r="F47" i="4"/>
  <c r="I102" i="1"/>
  <c r="J98" i="1"/>
  <c r="J105" i="1"/>
  <c r="J106" i="1"/>
  <c r="G47" i="4"/>
  <c r="K58" i="1"/>
  <c r="G49" i="4" s="1"/>
  <c r="I107" i="1"/>
  <c r="J94" i="1" l="1"/>
</calcChain>
</file>

<file path=xl/comments1.xml><?xml version="1.0" encoding="utf-8"?>
<comments xmlns="http://schemas.openxmlformats.org/spreadsheetml/2006/main" xmlns:mc="http://schemas.openxmlformats.org/markup-compatibility/2006" xmlns:xr="http://schemas.microsoft.com/office/spreadsheetml/2014/revision" mc:Ignorable="xr">
  <authors>
    <author>Max W Runge</author>
    <author>Jay M. Lillywhite</author>
  </authors>
  <commentList>
    <comment ref="M13" authorId="0" shapeId="0" xr:uid="{00000000-0006-0000-0200-000001000000}">
      <text>
        <r>
          <rPr>
            <b/>
            <sz val="8"/>
            <color indexed="81"/>
            <rFont val="Tahoma"/>
            <family val="2"/>
          </rPr>
          <t>Max W Runge:</t>
        </r>
        <r>
          <rPr>
            <sz val="8"/>
            <color indexed="81"/>
            <rFont val="Tahoma"/>
            <family val="2"/>
          </rPr>
          <t xml:space="preserve">
</t>
        </r>
      </text>
    </comment>
    <comment ref="D25" authorId="1" shapeId="0" xr:uid="{00000000-0006-0000-0200-000002000000}">
      <text>
        <r>
          <rPr>
            <sz val="8"/>
            <color indexed="81"/>
            <rFont val="Tahoma"/>
            <family val="2"/>
          </rPr>
          <t>Price for breeding stock is used both for costs of purchasing breading stock and as revenue for selling breeding stock.</t>
        </r>
      </text>
    </comment>
  </commentList>
</comments>
</file>

<file path=xl/sharedStrings.xml><?xml version="1.0" encoding="utf-8"?>
<sst xmlns="http://schemas.openxmlformats.org/spreadsheetml/2006/main" count="336" uniqueCount="263">
  <si>
    <t>Capital Investments</t>
  </si>
  <si>
    <t>Item</t>
  </si>
  <si>
    <t>Unit</t>
  </si>
  <si>
    <t>Quantity</t>
  </si>
  <si>
    <t>Unit Cost</t>
  </si>
  <si>
    <t>Total Cost</t>
  </si>
  <si>
    <t>Salvage</t>
  </si>
  <si>
    <t>Annual</t>
  </si>
  <si>
    <t>Average</t>
  </si>
  <si>
    <t>Int. Rate</t>
  </si>
  <si>
    <t>Interest</t>
  </si>
  <si>
    <t>Value</t>
  </si>
  <si>
    <t>Deprec.</t>
  </si>
  <si>
    <t>Investment</t>
  </si>
  <si>
    <t>(APR)</t>
  </si>
  <si>
    <t>Charge</t>
  </si>
  <si>
    <t xml:space="preserve">Feeding </t>
  </si>
  <si>
    <t>Breeding Does</t>
  </si>
  <si>
    <t>Head</t>
  </si>
  <si>
    <t>Herd Numbers &amp; Size</t>
  </si>
  <si>
    <t>Breeding Bucks</t>
  </si>
  <si>
    <t>Cull Bucks</t>
  </si>
  <si>
    <t>Number of Bucks</t>
  </si>
  <si>
    <t>Housing</t>
  </si>
  <si>
    <t>Cull Does</t>
  </si>
  <si>
    <t>Number of Does</t>
  </si>
  <si>
    <t>Concentrate (lbs/doe/day)</t>
  </si>
  <si>
    <t>Unit Price</t>
  </si>
  <si>
    <t>Total</t>
  </si>
  <si>
    <t>$/Doe</t>
  </si>
  <si>
    <t>Feed Prices</t>
  </si>
  <si>
    <t>Hay Costs ($/ton)</t>
  </si>
  <si>
    <t>Cull Rates</t>
  </si>
  <si>
    <t>Cull Bucks Sold</t>
  </si>
  <si>
    <t>Buck Cull Rate</t>
  </si>
  <si>
    <t>Cull Does Sold</t>
  </si>
  <si>
    <t>Doe Cull Rate</t>
  </si>
  <si>
    <t>Health Costs / Procedures</t>
  </si>
  <si>
    <t>Salt/Minerals ($/cwt)</t>
  </si>
  <si>
    <t>Gross Revenue</t>
  </si>
  <si>
    <t>Fertility Rates</t>
  </si>
  <si>
    <t>Marketing Assumptions</t>
  </si>
  <si>
    <t>Conception Rate</t>
  </si>
  <si>
    <t>Number of Times Dewormed</t>
  </si>
  <si>
    <t>Number of Trips to Market</t>
  </si>
  <si>
    <t>Kidding Rate</t>
  </si>
  <si>
    <t>Misc. Medication Costs (Herd)</t>
  </si>
  <si>
    <t>Variable Costs</t>
  </si>
  <si>
    <t>Miles to Market (Round Trip)</t>
  </si>
  <si>
    <t>Hay</t>
  </si>
  <si>
    <t>Mortality Rates</t>
  </si>
  <si>
    <t>Financial</t>
  </si>
  <si>
    <t>Doe Mortality Rate</t>
  </si>
  <si>
    <t>Pasture</t>
  </si>
  <si>
    <t>Acre</t>
  </si>
  <si>
    <t>Kid Mortality Rate</t>
  </si>
  <si>
    <t>Salt &amp; Minerals</t>
  </si>
  <si>
    <t>Equipment / Supplies</t>
  </si>
  <si>
    <t>Dewormer</t>
  </si>
  <si>
    <t>Dose</t>
  </si>
  <si>
    <t>Misc. Equipment costs</t>
  </si>
  <si>
    <t>Cost / Sq. Foot</t>
  </si>
  <si>
    <t>Kids Sold for Meat</t>
  </si>
  <si>
    <t>Misc. Antibiotics / Medications</t>
  </si>
  <si>
    <t>Year</t>
  </si>
  <si>
    <t>Transportation</t>
  </si>
  <si>
    <t>Misc. Supplies</t>
  </si>
  <si>
    <t>Interest on Operating Capital</t>
  </si>
  <si>
    <t>Total Variable Costs</t>
  </si>
  <si>
    <t>Fixed Costs</t>
  </si>
  <si>
    <t>Depreciation (Livestock)</t>
  </si>
  <si>
    <t>Depreciation (Buildings &amp; Equipment)</t>
  </si>
  <si>
    <t>Interest (Livestock)</t>
  </si>
  <si>
    <t>Interest (Buildings &amp; Equipment)</t>
  </si>
  <si>
    <t>Repair &amp; Maintenance</t>
  </si>
  <si>
    <t>Total Fixed Costs</t>
  </si>
  <si>
    <t>Square Feet / Adult Animal</t>
  </si>
  <si>
    <t>Sq. Ft.</t>
  </si>
  <si>
    <t>Market Prices</t>
  </si>
  <si>
    <t>Herd / Animal Characteristics</t>
  </si>
  <si>
    <t>trips</t>
  </si>
  <si>
    <t>Breeding Stock</t>
  </si>
  <si>
    <t>Annual Interest Rate Applied to</t>
  </si>
  <si>
    <t>/ herd / year</t>
  </si>
  <si>
    <t>/ year</t>
  </si>
  <si>
    <t>/ dose</t>
  </si>
  <si>
    <t>/ buck</t>
  </si>
  <si>
    <t>/ doe</t>
  </si>
  <si>
    <t>/ mile</t>
  </si>
  <si>
    <t>Buck Mortality Rate</t>
  </si>
  <si>
    <t>Market Kids</t>
  </si>
  <si>
    <t>Does Sold for Breeding</t>
  </si>
  <si>
    <t>Bucks Sold for Breeding</t>
  </si>
  <si>
    <t>miles</t>
  </si>
  <si>
    <t>Budget Notes</t>
  </si>
  <si>
    <t>1)</t>
  </si>
  <si>
    <t>Feed costs based on doe inputs (i.e., buck feed requirements are the same as doe)</t>
  </si>
  <si>
    <t>3)</t>
  </si>
  <si>
    <t>Market Kids Sold For Meat</t>
  </si>
  <si>
    <t>Mile</t>
  </si>
  <si>
    <t>Pasture Acreage</t>
  </si>
  <si>
    <t>/ buck &amp; does / year</t>
  </si>
  <si>
    <t>Dewormer Costs</t>
  </si>
  <si>
    <t>5)</t>
  </si>
  <si>
    <t>Interest charge calculated on average investment (i.e., [(1/2)*purchase price+(1/2)*salvage value]*interest rate)</t>
  </si>
  <si>
    <t>2)</t>
  </si>
  <si>
    <t>Salvage value for animals based on sales information for culled bucks and does.</t>
  </si>
  <si>
    <t>"$/doe" on budget is computed using total for that expense (revenue) divided by number of does reported</t>
  </si>
  <si>
    <t>7)</t>
  </si>
  <si>
    <t>Slaughter information is applied to all animals (i.e., yield for cull buck same as yield for kids)</t>
  </si>
  <si>
    <t>Feed consumption is computed as [(% of body weight in feed)*average doe size]</t>
  </si>
  <si>
    <t xml:space="preserve">4) </t>
  </si>
  <si>
    <t>Kids are not included in feed costs (may need to adjust doe / buck feed assumptions to compensate for no feed considerations for kids)</t>
  </si>
  <si>
    <t>Number of kids sold for meat is computed as [(number of kids)-{(kids kept for replacement)+(bucks sold for breeding)+(does sold for breeding)}]</t>
  </si>
  <si>
    <t>Replacement kids calculated as [{(doe cull rate)+(doe mortality rate)}*(number of does)]+[{(buck cull rate)+(buck mortality rate)}*(number of bucks)]</t>
  </si>
  <si>
    <t>6)</t>
  </si>
  <si>
    <t>Number of kids calculated as [{(number of does)*(conception rate)*(kidding rate)}-{(kid mortality rate)*(number of does)*(conception rate)*(kidding rate)}]</t>
  </si>
  <si>
    <t>Bucks (does) sold for breeding stock calculated as [(% buck (doe) kids sold for breeding stock)*(number of kids)]</t>
  </si>
  <si>
    <t>Depreciation calculated on straight line basis (i.e., (purchase price - salvage value)/years used)</t>
  </si>
  <si>
    <t>8)</t>
  </si>
  <si>
    <t>9)</t>
  </si>
  <si>
    <t>10)</t>
  </si>
  <si>
    <t>11)</t>
  </si>
  <si>
    <t>12)</t>
  </si>
  <si>
    <t>13)</t>
  </si>
  <si>
    <t xml:space="preserve">Cull sales calculations made separately from buck or doe mortality [e.g., (cull sales) = (cull rate)*(number of bucks)] </t>
  </si>
  <si>
    <t>GROSS RECEIPTS</t>
  </si>
  <si>
    <t>Income Above Variable Costs</t>
  </si>
  <si>
    <t xml:space="preserve">Feed </t>
  </si>
  <si>
    <t>Other</t>
  </si>
  <si>
    <t>Pounds</t>
  </si>
  <si>
    <t>Land and Labor</t>
  </si>
  <si>
    <t>/acre</t>
  </si>
  <si>
    <t>/hours/doe</t>
  </si>
  <si>
    <t>Labor Cost</t>
  </si>
  <si>
    <t>/hour</t>
  </si>
  <si>
    <t>General Overhead</t>
  </si>
  <si>
    <t xml:space="preserve">General Overhead </t>
  </si>
  <si>
    <t>% of Variable Cost</t>
  </si>
  <si>
    <t>Hours</t>
  </si>
  <si>
    <t>Returns to Risks and Management</t>
  </si>
  <si>
    <t xml:space="preserve">Fencing </t>
  </si>
  <si>
    <t>Ln Ft.</t>
  </si>
  <si>
    <t>Each</t>
  </si>
  <si>
    <t>Fencing and Corral</t>
  </si>
  <si>
    <t>/linear foot</t>
  </si>
  <si>
    <t>Usefull Life-Fence</t>
  </si>
  <si>
    <t>percent</t>
  </si>
  <si>
    <t>Cost of Fencing</t>
  </si>
  <si>
    <t>unit</t>
  </si>
  <si>
    <t>Salvage Value-Fence</t>
  </si>
  <si>
    <t>years</t>
  </si>
  <si>
    <t>Number acres</t>
  </si>
  <si>
    <t>Length of fence ln ft</t>
  </si>
  <si>
    <t>cost of fence er ln ft</t>
  </si>
  <si>
    <t>total cost of fence</t>
  </si>
  <si>
    <t>total sg ft</t>
  </si>
  <si>
    <t>Acres</t>
  </si>
  <si>
    <t>Vet &amp; Medicine</t>
  </si>
  <si>
    <t>Concentrate Costs ($/cwt)</t>
  </si>
  <si>
    <t>Doe Kids Sold For Breed. Stock</t>
  </si>
  <si>
    <t xml:space="preserve">Concentrate </t>
  </si>
  <si>
    <t>Enterotoxemia C&amp;D/T Vaccination</t>
  </si>
  <si>
    <t xml:space="preserve">Number of Times Vac. </t>
  </si>
  <si>
    <t>/ doe / year</t>
  </si>
  <si>
    <t>Months on Concentrate Suppl.</t>
  </si>
  <si>
    <t>Working Facilities cost</t>
  </si>
  <si>
    <t>Usefull Life-Work. Fac.</t>
  </si>
  <si>
    <t>Salvage Value-Work Fac.</t>
  </si>
  <si>
    <t>Working Facilities</t>
  </si>
  <si>
    <t>Estimated Costs and Returns</t>
  </si>
  <si>
    <t>Following Recommended Management Practices</t>
  </si>
  <si>
    <t>Column 1</t>
  </si>
  <si>
    <t>Herd Information:</t>
  </si>
  <si>
    <t xml:space="preserve">   $/ CWT Conversion</t>
  </si>
  <si>
    <t>/CWT</t>
  </si>
  <si>
    <t>Mileage Costs ($ / Mile)</t>
  </si>
  <si>
    <t>Useful Life Housing- Years</t>
  </si>
  <si>
    <t>Kids Vaccination</t>
  </si>
  <si>
    <t>Kids Vaccination - Cost</t>
  </si>
  <si>
    <t>Number of Kids Produced</t>
  </si>
  <si>
    <t>Buck Kids Sold For Breed. Stock</t>
  </si>
  <si>
    <t>Pasture Costs Variable($/acre)</t>
  </si>
  <si>
    <t>Pasture Costs- Fixed ($/acre)</t>
  </si>
  <si>
    <t xml:space="preserve">Repair for Fencing and </t>
  </si>
  <si>
    <t>working faclities</t>
  </si>
  <si>
    <t>Repair &amp; Maintenance-Buildings</t>
  </si>
  <si>
    <t>Salvage Value-Housing</t>
  </si>
  <si>
    <t>Land Rent/Ownership Cost</t>
  </si>
  <si>
    <t>Kids Marketed</t>
  </si>
  <si>
    <t>Association Dues</t>
  </si>
  <si>
    <t>Herd</t>
  </si>
  <si>
    <t>Lbs Hay Fed (lbs/doe/day)</t>
  </si>
  <si>
    <t>Months on Hay</t>
  </si>
  <si>
    <t>Salt/Mineral (Oz/head/day)</t>
  </si>
  <si>
    <t>/Hd Sold</t>
  </si>
  <si>
    <t xml:space="preserve">Sales Commision (%) </t>
  </si>
  <si>
    <t>Assoc./Membership Dues</t>
  </si>
  <si>
    <t xml:space="preserve">Operating Capital </t>
  </si>
  <si>
    <t>/year</t>
  </si>
  <si>
    <t>% of Building Cost</t>
  </si>
  <si>
    <t>Misc. Equipment/Supplies</t>
  </si>
  <si>
    <t>Pasture Fixed Cost</t>
  </si>
  <si>
    <t xml:space="preserve">% </t>
  </si>
  <si>
    <t>Labor - Hired</t>
  </si>
  <si>
    <t>Buck Size (lbs) - Average</t>
  </si>
  <si>
    <t>Kid Size When Sold (lbs) - Average</t>
  </si>
  <si>
    <t>Sales Commission</t>
  </si>
  <si>
    <t>Alabama Meat Goat Enterprise Budget</t>
  </si>
  <si>
    <t>Your Farm</t>
  </si>
  <si>
    <t>Livestock</t>
  </si>
  <si>
    <t>(Years)</t>
  </si>
  <si>
    <t>Buildings/Working Facilities</t>
  </si>
  <si>
    <t>Buildings and Equipment</t>
  </si>
  <si>
    <t>/Head</t>
  </si>
  <si>
    <t xml:space="preserve">and equal opportunity employment to all people without regard to race, color, national origin, religion, sex, age, veteran status, or disability. </t>
  </si>
  <si>
    <t>Menu</t>
  </si>
  <si>
    <t>INPUT SHEET Enter the Data that BEST represents YOUR operation.</t>
  </si>
  <si>
    <t>YOUR ENTERPRISE Budget  - Results from YOUR operation.</t>
  </si>
  <si>
    <t>Replacements needed</t>
  </si>
  <si>
    <t>Useful Life</t>
  </si>
  <si>
    <t>Fence &amp; Working Faclities</t>
  </si>
  <si>
    <t>Repair &amp; Maintenance -</t>
  </si>
  <si>
    <t xml:space="preserve">Hired Labor </t>
  </si>
  <si>
    <t>Dollars</t>
  </si>
  <si>
    <t>Feed</t>
  </si>
  <si>
    <t>Concentrate</t>
  </si>
  <si>
    <t>Salt &amp; Mineral</t>
  </si>
  <si>
    <t>Vet. &amp; Medicine</t>
  </si>
  <si>
    <t>Variable</t>
  </si>
  <si>
    <t>Total Costs</t>
  </si>
  <si>
    <t>Fixed</t>
  </si>
  <si>
    <t>Cost Breakdown - Percentage</t>
  </si>
  <si>
    <t>Sub Total</t>
  </si>
  <si>
    <t>1.</t>
  </si>
  <si>
    <t>2.</t>
  </si>
  <si>
    <t>3.</t>
  </si>
  <si>
    <t>4.</t>
  </si>
  <si>
    <t>5.</t>
  </si>
  <si>
    <t>6.</t>
  </si>
  <si>
    <t>7.</t>
  </si>
  <si>
    <t>Average Weight - Lbs. (Sold)</t>
  </si>
  <si>
    <t xml:space="preserve">Average Weight - Lbs. </t>
  </si>
  <si>
    <t>Average Weight  - Lbs.</t>
  </si>
  <si>
    <t xml:space="preserve">                 Percentage of…</t>
  </si>
  <si>
    <t>This interactive enterprise budget was adopted from work developed Dr. Jay M. Lillywhite's for the Agricultural Utilization Research Institute in conjunction with the</t>
  </si>
  <si>
    <t xml:space="preserve">"Feasiblity of Meat Goats in Minnesota" study. </t>
  </si>
  <si>
    <t xml:space="preserve">Issued in furtherance of Cooperative Extension work in agriculture and home economics, Acts of May 8 and June 30, 1914, and other related acts, </t>
  </si>
  <si>
    <t xml:space="preserve">in cooperation with the U.S. Department of Agriculture. The Alabama Cooperative Extension System offers educational programs, materials, </t>
  </si>
  <si>
    <t>For more information go to:</t>
  </si>
  <si>
    <t>Costs</t>
  </si>
  <si>
    <t xml:space="preserve">Estimated Costs and Returns for Alabama Meat Goat Enterprise </t>
  </si>
  <si>
    <t xml:space="preserve">Input Sheet  </t>
  </si>
  <si>
    <t>Doe Size (lbs) - Average</t>
  </si>
  <si>
    <t xml:space="preserve">                  Column 2</t>
  </si>
  <si>
    <t xml:space="preserve">        Column 3</t>
  </si>
  <si>
    <t>% buck kids sold for Breeding</t>
  </si>
  <si>
    <t>% doe kids sold for Breeding</t>
  </si>
  <si>
    <t>Gross Revenues</t>
  </si>
  <si>
    <t>Returns to Risk &amp; Management</t>
  </si>
  <si>
    <t xml:space="preserve">                         BOTTOM LINE</t>
  </si>
  <si>
    <t>Contents 3 Worksheets</t>
  </si>
  <si>
    <t>https://www.aces.edu/blog/tag/sheep-and-goats,ruminants/?c=livestock&amp;orderby=title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</si>
</sst>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7">
    <numFmt numFmtId="7" formatCode="&quot;$&quot;#,##0.00_);\(&quot;$&quot;#,##0.00\)"/>
    <numFmt numFmtId="44" formatCode="_(&quot;$&quot;* #,##0.00_);_(&quot;$&quot;* \(#,##0.00\);_(&quot;$&quot;* &quot;-&quot;??_);_(@_)"/>
    <numFmt numFmtId="43" formatCode="_(* #,##0.00_);_(* \(#,##0.00\);_(* &quot;-&quot;??_);_(@_)"/>
    <numFmt numFmtId="164" formatCode="0.0"/>
    <numFmt numFmtId="165" formatCode="_(* #,##0.0_);_(* \(#,##0.0\);_(* &quot;-&quot;??_);_(@_)"/>
    <numFmt numFmtId="166" formatCode="&quot;$&quot;#,##0.00"/>
    <numFmt numFmtId="167" formatCode="0.00_)"/>
  </numFmts>
  <fonts count="24" x14ac:knownFonts="1">
    <font>
      <sz val="10"/>
      <name val="Arial"/>
    </font>
    <font>
      <sz val="10"/>
      <name val="Arial"/>
      <family val="2"/>
    </font>
    <font>
      <b/>
      <sz val="10"/>
      <name val="Arial"/>
      <family val="2"/>
    </font>
    <font>
      <sz val="10"/>
      <name val="Arial"/>
      <family val="2"/>
    </font>
    <font>
      <sz val="12"/>
      <name val="Arial"/>
      <family val="2"/>
    </font>
    <font>
      <sz val="10"/>
      <color indexed="8"/>
      <name val="Arial"/>
      <family val="2"/>
    </font>
    <font>
      <b/>
      <sz val="9"/>
      <color indexed="8"/>
      <name val="Arial"/>
      <family val="2"/>
    </font>
    <font>
      <sz val="9"/>
      <color indexed="8"/>
      <name val="Arial"/>
      <family val="2"/>
    </font>
    <font>
      <sz val="10"/>
      <color indexed="43"/>
      <name val="Arial"/>
      <family val="2"/>
    </font>
    <font>
      <sz val="12"/>
      <color indexed="8"/>
      <name val="Arial"/>
      <family val="2"/>
    </font>
    <font>
      <b/>
      <sz val="12"/>
      <color indexed="8"/>
      <name val="Arial"/>
      <family val="2"/>
    </font>
    <font>
      <sz val="11"/>
      <name val="Arial"/>
      <family val="2"/>
    </font>
    <font>
      <b/>
      <sz val="14"/>
      <name val="Arial"/>
      <family val="2"/>
    </font>
    <font>
      <sz val="11"/>
      <color indexed="8"/>
      <name val="Arial"/>
      <family val="2"/>
    </font>
    <font>
      <sz val="8"/>
      <name val="Arial"/>
      <family val="2"/>
    </font>
    <font>
      <b/>
      <sz val="14"/>
      <color indexed="8"/>
      <name val="Arial"/>
      <family val="2"/>
    </font>
    <font>
      <sz val="14"/>
      <color indexed="8"/>
      <name val="Arial"/>
      <family val="2"/>
    </font>
    <font>
      <b/>
      <sz val="11"/>
      <name val="Arial"/>
      <family val="2"/>
    </font>
    <font>
      <u/>
      <sz val="10"/>
      <name val="Arial"/>
      <family val="2"/>
    </font>
    <font>
      <b/>
      <sz val="11"/>
      <color indexed="43"/>
      <name val="Arial"/>
      <family val="2"/>
    </font>
    <font>
      <sz val="10"/>
      <color rgb="FF000000"/>
      <name val="Arial"/>
      <family val="2"/>
    </font>
    <font>
      <b/>
      <sz val="8"/>
      <color indexed="81"/>
      <name val="Tahoma"/>
      <family val="2"/>
    </font>
    <font>
      <sz val="8"/>
      <color indexed="81"/>
      <name val="Tahoma"/>
      <family val="2"/>
    </font>
    <font>
      <u/>
      <sz val="10"/>
      <color theme="10"/>
      <name val="Arial"/>
      <family val="2"/>
    </font>
  </fonts>
  <fills count="5">
    <fill>
      <patternFill patternType="none"/>
    </fill>
    <fill>
      <patternFill patternType="gray125"/>
    </fill>
    <fill>
      <patternFill patternType="solid">
        <fgColor indexed="43"/>
        <bgColor indexed="64"/>
      </patternFill>
    </fill>
    <fill>
      <patternFill patternType="solid">
        <fgColor indexed="41"/>
        <bgColor indexed="64"/>
      </patternFill>
    </fill>
    <fill>
      <patternFill patternType="solid">
        <fgColor indexed="42"/>
        <bgColor indexed="64"/>
      </patternFill>
    </fill>
  </fills>
  <borders count="30">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style="thin">
        <color indexed="64"/>
      </right>
      <top style="thin">
        <color indexed="64"/>
      </top>
      <bottom/>
      <diagonal/>
    </border>
    <border>
      <left style="double">
        <color indexed="53"/>
      </left>
      <right style="double">
        <color indexed="53"/>
      </right>
      <top style="double">
        <color indexed="53"/>
      </top>
      <bottom style="double">
        <color indexed="53"/>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right/>
      <top/>
      <bottom style="double">
        <color indexed="64"/>
      </bottom>
      <diagonal/>
    </border>
    <border>
      <left/>
      <right/>
      <top style="thin">
        <color indexed="64"/>
      </top>
      <bottom style="double">
        <color indexed="64"/>
      </bottom>
      <diagonal/>
    </border>
    <border>
      <left/>
      <right/>
      <top style="double">
        <color indexed="64"/>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top/>
      <bottom style="thick">
        <color indexed="64"/>
      </bottom>
      <diagonal/>
    </border>
    <border>
      <left style="double">
        <color indexed="53"/>
      </left>
      <right/>
      <top style="double">
        <color indexed="53"/>
      </top>
      <bottom/>
      <diagonal/>
    </border>
    <border>
      <left/>
      <right/>
      <top style="double">
        <color indexed="53"/>
      </top>
      <bottom/>
      <diagonal/>
    </border>
    <border>
      <left style="double">
        <color indexed="53"/>
      </left>
      <right/>
      <top/>
      <bottom/>
      <diagonal/>
    </border>
    <border>
      <left style="double">
        <color indexed="53"/>
      </left>
      <right/>
      <top/>
      <bottom style="double">
        <color indexed="53"/>
      </bottom>
      <diagonal/>
    </border>
    <border>
      <left/>
      <right/>
      <top/>
      <bottom style="double">
        <color indexed="53"/>
      </bottom>
      <diagonal/>
    </border>
    <border>
      <left style="double">
        <color indexed="52"/>
      </left>
      <right/>
      <top style="double">
        <color indexed="52"/>
      </top>
      <bottom/>
      <diagonal/>
    </border>
    <border>
      <left style="double">
        <color indexed="53"/>
      </left>
      <right/>
      <top style="double">
        <color indexed="52"/>
      </top>
      <bottom/>
      <diagonal/>
    </border>
    <border>
      <left/>
      <right style="double">
        <color indexed="53"/>
      </right>
      <top style="double">
        <color indexed="52"/>
      </top>
      <bottom/>
      <diagonal/>
    </border>
    <border>
      <left style="double">
        <color indexed="52"/>
      </left>
      <right/>
      <top/>
      <bottom style="double">
        <color indexed="52"/>
      </bottom>
      <diagonal/>
    </border>
    <border>
      <left style="double">
        <color indexed="53"/>
      </left>
      <right/>
      <top/>
      <bottom style="double">
        <color indexed="52"/>
      </bottom>
      <diagonal/>
    </border>
    <border>
      <left/>
      <right style="double">
        <color indexed="53"/>
      </right>
      <top/>
      <bottom style="double">
        <color indexed="52"/>
      </bottom>
      <diagonal/>
    </border>
  </borders>
  <cellStyleXfs count="5">
    <xf numFmtId="0" fontId="0" fillId="0" borderId="0"/>
    <xf numFmtId="43" fontId="1" fillId="0" borderId="0" applyFont="0" applyFill="0" applyBorder="0" applyAlignment="0" applyProtection="0"/>
    <xf numFmtId="44" fontId="1" fillId="0" borderId="0" applyFont="0" applyFill="0" applyBorder="0" applyAlignment="0" applyProtection="0"/>
    <xf numFmtId="9" fontId="1" fillId="0" borderId="0" applyFont="0" applyFill="0" applyBorder="0" applyAlignment="0" applyProtection="0"/>
    <xf numFmtId="0" fontId="23" fillId="0" borderId="0" applyNumberFormat="0" applyFill="0" applyBorder="0" applyAlignment="0" applyProtection="0"/>
  </cellStyleXfs>
  <cellXfs count="163">
    <xf numFmtId="0" fontId="0" fillId="0" borderId="0" xfId="0"/>
    <xf numFmtId="0" fontId="2" fillId="2" borderId="0" xfId="0" applyFont="1" applyFill="1" applyBorder="1"/>
    <xf numFmtId="0" fontId="3" fillId="2" borderId="0" xfId="0" applyFont="1" applyFill="1" applyBorder="1"/>
    <xf numFmtId="0" fontId="3" fillId="2" borderId="0" xfId="0" applyFont="1" applyFill="1"/>
    <xf numFmtId="44" fontId="3" fillId="2" borderId="0" xfId="2" applyFont="1" applyFill="1" applyBorder="1"/>
    <xf numFmtId="9" fontId="3" fillId="2" borderId="0" xfId="3" applyFont="1" applyFill="1" applyBorder="1"/>
    <xf numFmtId="44" fontId="3" fillId="2" borderId="0" xfId="2" quotePrefix="1" applyFont="1" applyFill="1" applyBorder="1"/>
    <xf numFmtId="0" fontId="5" fillId="2" borderId="0" xfId="0" applyFont="1" applyFill="1" applyBorder="1"/>
    <xf numFmtId="0" fontId="3" fillId="2" borderId="0" xfId="0" quotePrefix="1" applyFont="1" applyFill="1" applyBorder="1" applyAlignment="1">
      <alignment horizontal="left"/>
    </xf>
    <xf numFmtId="44" fontId="3" fillId="2" borderId="0" xfId="2" quotePrefix="1" applyFont="1" applyFill="1" applyBorder="1" applyAlignment="1">
      <alignment horizontal="left"/>
    </xf>
    <xf numFmtId="0" fontId="7" fillId="0" borderId="0" xfId="0" applyFont="1" applyFill="1" applyBorder="1" applyProtection="1"/>
    <xf numFmtId="44" fontId="7" fillId="0" borderId="0" xfId="0" applyNumberFormat="1" applyFont="1" applyFill="1" applyBorder="1" applyProtection="1"/>
    <xf numFmtId="0" fontId="3" fillId="2" borderId="0" xfId="0" applyFont="1" applyFill="1" applyBorder="1" applyProtection="1">
      <protection locked="0"/>
    </xf>
    <xf numFmtId="9" fontId="3" fillId="0" borderId="1" xfId="3" applyFont="1" applyFill="1" applyBorder="1" applyProtection="1">
      <protection locked="0"/>
    </xf>
    <xf numFmtId="44" fontId="3" fillId="0" borderId="1" xfId="2" applyFont="1" applyFill="1" applyBorder="1" applyProtection="1">
      <protection locked="0"/>
    </xf>
    <xf numFmtId="44" fontId="3" fillId="2" borderId="0" xfId="2" applyFont="1" applyFill="1" applyBorder="1" applyProtection="1">
      <protection locked="0"/>
    </xf>
    <xf numFmtId="0" fontId="3" fillId="0" borderId="1" xfId="0" applyFont="1" applyFill="1" applyBorder="1" applyProtection="1">
      <protection locked="0"/>
    </xf>
    <xf numFmtId="4" fontId="3" fillId="0" borderId="0" xfId="0" applyNumberFormat="1" applyFont="1"/>
    <xf numFmtId="0" fontId="6" fillId="0" borderId="0" xfId="0" applyFont="1" applyFill="1" applyBorder="1" applyAlignment="1" applyProtection="1">
      <alignment horizontal="center"/>
    </xf>
    <xf numFmtId="0" fontId="7" fillId="0" borderId="0" xfId="0" applyFont="1" applyFill="1" applyBorder="1" applyAlignment="1" applyProtection="1">
      <alignment horizontal="center"/>
    </xf>
    <xf numFmtId="9" fontId="7" fillId="0" borderId="0" xfId="3" applyFont="1" applyFill="1" applyBorder="1" applyProtection="1"/>
    <xf numFmtId="43" fontId="7" fillId="0" borderId="0" xfId="0" applyNumberFormat="1" applyFont="1" applyFill="1" applyBorder="1" applyProtection="1"/>
    <xf numFmtId="10" fontId="3" fillId="0" borderId="1" xfId="2" applyNumberFormat="1" applyFont="1" applyFill="1" applyBorder="1" applyProtection="1">
      <protection locked="0"/>
    </xf>
    <xf numFmtId="39" fontId="3" fillId="0" borderId="1" xfId="2" applyNumberFormat="1" applyFont="1" applyFill="1" applyBorder="1" applyProtection="1">
      <protection locked="0"/>
    </xf>
    <xf numFmtId="0" fontId="9" fillId="0" borderId="0" xfId="0" applyFont="1" applyFill="1" applyBorder="1" applyProtection="1"/>
    <xf numFmtId="0" fontId="10" fillId="0" borderId="0" xfId="0" applyFont="1" applyFill="1" applyBorder="1" applyAlignment="1" applyProtection="1">
      <alignment horizontal="center"/>
    </xf>
    <xf numFmtId="0" fontId="10" fillId="0" borderId="0" xfId="0" applyFont="1" applyFill="1" applyBorder="1" applyProtection="1"/>
    <xf numFmtId="164" fontId="9" fillId="0" borderId="0" xfId="0" applyNumberFormat="1" applyFont="1" applyFill="1" applyBorder="1" applyProtection="1"/>
    <xf numFmtId="2" fontId="9" fillId="0" borderId="0" xfId="2" applyNumberFormat="1" applyFont="1" applyFill="1" applyBorder="1" applyProtection="1"/>
    <xf numFmtId="2" fontId="9" fillId="0" borderId="0" xfId="0" applyNumberFormat="1" applyFont="1" applyFill="1" applyBorder="1" applyProtection="1"/>
    <xf numFmtId="2" fontId="10" fillId="0" borderId="0" xfId="0" applyNumberFormat="1" applyFont="1" applyFill="1" applyBorder="1" applyProtection="1"/>
    <xf numFmtId="0" fontId="9" fillId="0" borderId="0" xfId="0" applyFont="1" applyFill="1" applyBorder="1" applyAlignment="1" applyProtection="1">
      <alignment horizontal="center"/>
    </xf>
    <xf numFmtId="3" fontId="9" fillId="0" borderId="0" xfId="1" applyNumberFormat="1" applyFont="1" applyFill="1" applyBorder="1" applyProtection="1"/>
    <xf numFmtId="4" fontId="9" fillId="0" borderId="0" xfId="0" applyNumberFormat="1" applyFont="1" applyFill="1" applyBorder="1" applyProtection="1"/>
    <xf numFmtId="4" fontId="9" fillId="0" borderId="0" xfId="2" applyNumberFormat="1" applyFont="1" applyFill="1" applyBorder="1" applyProtection="1"/>
    <xf numFmtId="165" fontId="9" fillId="0" borderId="0" xfId="1" applyNumberFormat="1" applyFont="1" applyFill="1" applyBorder="1" applyProtection="1"/>
    <xf numFmtId="44" fontId="9" fillId="0" borderId="0" xfId="2" applyFont="1" applyFill="1" applyBorder="1" applyProtection="1"/>
    <xf numFmtId="44" fontId="9" fillId="0" borderId="0" xfId="0" applyNumberFormat="1" applyFont="1" applyFill="1" applyBorder="1" applyProtection="1"/>
    <xf numFmtId="2" fontId="9" fillId="0" borderId="0" xfId="1" applyNumberFormat="1" applyFont="1" applyFill="1" applyBorder="1" applyProtection="1"/>
    <xf numFmtId="37" fontId="9" fillId="0" borderId="0" xfId="2" applyNumberFormat="1" applyFont="1" applyFill="1" applyBorder="1" applyAlignment="1" applyProtection="1">
      <alignment horizontal="center"/>
    </xf>
    <xf numFmtId="166" fontId="9" fillId="0" borderId="0" xfId="2" applyNumberFormat="1" applyFont="1" applyFill="1" applyBorder="1" applyProtection="1"/>
    <xf numFmtId="0" fontId="11" fillId="0" borderId="0" xfId="0" applyFont="1" applyAlignment="1" applyProtection="1">
      <alignment horizontal="left"/>
    </xf>
    <xf numFmtId="0" fontId="11" fillId="0" borderId="0" xfId="0" applyFont="1"/>
    <xf numFmtId="0" fontId="5" fillId="2" borderId="0" xfId="0" applyFont="1" applyFill="1" applyBorder="1" applyProtection="1"/>
    <xf numFmtId="0" fontId="12" fillId="2" borderId="0" xfId="0" applyFont="1" applyFill="1" applyBorder="1"/>
    <xf numFmtId="0" fontId="3" fillId="2" borderId="2" xfId="0" applyFont="1" applyFill="1" applyBorder="1"/>
    <xf numFmtId="0" fontId="3" fillId="2" borderId="3" xfId="0" applyFont="1" applyFill="1" applyBorder="1"/>
    <xf numFmtId="0" fontId="3" fillId="2" borderId="3" xfId="0" applyFont="1" applyFill="1" applyBorder="1" applyProtection="1">
      <protection locked="0"/>
    </xf>
    <xf numFmtId="0" fontId="3" fillId="2" borderId="4" xfId="0" applyFont="1" applyFill="1" applyBorder="1"/>
    <xf numFmtId="0" fontId="3" fillId="2" borderId="5" xfId="0" applyFont="1" applyFill="1" applyBorder="1"/>
    <xf numFmtId="0" fontId="3" fillId="2" borderId="6" xfId="0" applyFont="1" applyFill="1" applyBorder="1"/>
    <xf numFmtId="0" fontId="2" fillId="2" borderId="2" xfId="0" applyFont="1" applyFill="1" applyBorder="1"/>
    <xf numFmtId="0" fontId="2" fillId="2" borderId="5" xfId="0" applyFont="1" applyFill="1" applyBorder="1"/>
    <xf numFmtId="0" fontId="2" fillId="2" borderId="3" xfId="0" applyFont="1" applyFill="1" applyBorder="1"/>
    <xf numFmtId="0" fontId="3" fillId="2" borderId="0" xfId="0" quotePrefix="1" applyFont="1" applyFill="1" applyBorder="1"/>
    <xf numFmtId="0" fontId="13" fillId="0" borderId="0" xfId="0" applyFont="1" applyFill="1" applyBorder="1" applyProtection="1"/>
    <xf numFmtId="1" fontId="9" fillId="0" borderId="0" xfId="2" applyNumberFormat="1" applyFont="1" applyFill="1" applyBorder="1" applyProtection="1"/>
    <xf numFmtId="166" fontId="3" fillId="2" borderId="0" xfId="0" applyNumberFormat="1" applyFont="1" applyFill="1" applyBorder="1" applyProtection="1">
      <protection locked="0"/>
    </xf>
    <xf numFmtId="2" fontId="3" fillId="0" borderId="1" xfId="2" applyNumberFormat="1" applyFont="1" applyFill="1" applyBorder="1" applyProtection="1">
      <protection locked="0"/>
    </xf>
    <xf numFmtId="9" fontId="3" fillId="0" borderId="7" xfId="3" applyFont="1" applyFill="1" applyBorder="1" applyProtection="1">
      <protection locked="0"/>
    </xf>
    <xf numFmtId="0" fontId="3" fillId="2" borderId="9" xfId="0" applyFont="1" applyFill="1" applyBorder="1"/>
    <xf numFmtId="0" fontId="3" fillId="2" borderId="10" xfId="0" applyFont="1" applyFill="1" applyBorder="1"/>
    <xf numFmtId="0" fontId="3" fillId="2" borderId="10" xfId="0" applyFont="1" applyFill="1" applyBorder="1" applyAlignment="1">
      <alignment horizontal="left"/>
    </xf>
    <xf numFmtId="0" fontId="3" fillId="2" borderId="11" xfId="0" applyFont="1" applyFill="1" applyBorder="1"/>
    <xf numFmtId="0" fontId="3" fillId="2" borderId="10" xfId="0" quotePrefix="1" applyFont="1" applyFill="1" applyBorder="1" applyAlignment="1">
      <alignment horizontal="left"/>
    </xf>
    <xf numFmtId="0" fontId="3" fillId="2" borderId="10" xfId="0" applyFont="1" applyFill="1" applyBorder="1" applyProtection="1">
      <protection locked="0"/>
    </xf>
    <xf numFmtId="9" fontId="3" fillId="2" borderId="6" xfId="3" applyFont="1" applyFill="1" applyBorder="1"/>
    <xf numFmtId="9" fontId="3" fillId="2" borderId="6" xfId="0" applyNumberFormat="1" applyFont="1" applyFill="1" applyBorder="1"/>
    <xf numFmtId="0" fontId="7" fillId="0" borderId="10" xfId="0" applyFont="1" applyFill="1" applyBorder="1" applyProtection="1"/>
    <xf numFmtId="0" fontId="7" fillId="0" borderId="13" xfId="0" applyFont="1" applyFill="1" applyBorder="1" applyProtection="1"/>
    <xf numFmtId="44" fontId="7" fillId="0" borderId="14" xfId="0" applyNumberFormat="1" applyFont="1" applyFill="1" applyBorder="1" applyProtection="1"/>
    <xf numFmtId="4" fontId="9" fillId="0" borderId="0" xfId="1" applyNumberFormat="1" applyFont="1" applyFill="1" applyBorder="1" applyProtection="1"/>
    <xf numFmtId="4" fontId="0" fillId="0" borderId="0" xfId="0" applyNumberFormat="1"/>
    <xf numFmtId="4" fontId="7" fillId="0" borderId="0" xfId="0" applyNumberFormat="1" applyFont="1" applyFill="1" applyBorder="1" applyProtection="1"/>
    <xf numFmtId="167" fontId="0" fillId="0" borderId="0" xfId="0" applyNumberFormat="1" applyProtection="1"/>
    <xf numFmtId="0" fontId="0" fillId="0" borderId="0" xfId="0" applyAlignment="1">
      <alignment horizontal="center"/>
    </xf>
    <xf numFmtId="0" fontId="7" fillId="0" borderId="0" xfId="0" applyFont="1"/>
    <xf numFmtId="2" fontId="7" fillId="0" borderId="0" xfId="0" applyNumberFormat="1" applyFont="1" applyFill="1" applyBorder="1" applyProtection="1"/>
    <xf numFmtId="10" fontId="9" fillId="0" borderId="0" xfId="2" applyNumberFormat="1" applyFont="1" applyFill="1" applyBorder="1" applyProtection="1"/>
    <xf numFmtId="10" fontId="9" fillId="0" borderId="0" xfId="0" applyNumberFormat="1" applyFont="1" applyFill="1" applyBorder="1" applyProtection="1"/>
    <xf numFmtId="0" fontId="15" fillId="0" borderId="0" xfId="0" applyFont="1" applyFill="1" applyBorder="1" applyProtection="1"/>
    <xf numFmtId="0" fontId="16" fillId="0" borderId="0" xfId="0" applyFont="1" applyFill="1" applyBorder="1" applyProtection="1"/>
    <xf numFmtId="164" fontId="9" fillId="0" borderId="0" xfId="0" applyNumberFormat="1" applyFont="1" applyFill="1" applyBorder="1" applyAlignment="1" applyProtection="1">
      <alignment horizontal="center"/>
    </xf>
    <xf numFmtId="44" fontId="9" fillId="0" borderId="4" xfId="2" applyFont="1" applyFill="1" applyBorder="1" applyProtection="1"/>
    <xf numFmtId="10" fontId="9" fillId="0" borderId="10" xfId="2" applyNumberFormat="1" applyFont="1" applyFill="1" applyBorder="1" applyProtection="1"/>
    <xf numFmtId="0" fontId="9" fillId="0" borderId="12" xfId="0" applyFont="1" applyFill="1" applyBorder="1" applyProtection="1"/>
    <xf numFmtId="0" fontId="9" fillId="0" borderId="12" xfId="0" applyFont="1" applyFill="1" applyBorder="1" applyAlignment="1" applyProtection="1">
      <alignment horizontal="center"/>
    </xf>
    <xf numFmtId="44" fontId="9" fillId="0" borderId="12" xfId="2" applyFont="1" applyFill="1" applyBorder="1" applyProtection="1"/>
    <xf numFmtId="44" fontId="9" fillId="0" borderId="12" xfId="0" applyNumberFormat="1" applyFont="1" applyFill="1" applyBorder="1" applyProtection="1"/>
    <xf numFmtId="166" fontId="9" fillId="0" borderId="12" xfId="2" applyNumberFormat="1" applyFont="1" applyFill="1" applyBorder="1" applyProtection="1"/>
    <xf numFmtId="164" fontId="9" fillId="0" borderId="12" xfId="0" applyNumberFormat="1" applyFont="1" applyFill="1" applyBorder="1" applyProtection="1"/>
    <xf numFmtId="10" fontId="9" fillId="0" borderId="0" xfId="0" applyNumberFormat="1" applyFont="1" applyFill="1" applyBorder="1" applyAlignment="1" applyProtection="1">
      <alignment horizontal="right"/>
    </xf>
    <xf numFmtId="0" fontId="9" fillId="0" borderId="0" xfId="0" applyFont="1" applyFill="1" applyBorder="1" applyAlignment="1" applyProtection="1">
      <alignment horizontal="right"/>
    </xf>
    <xf numFmtId="0" fontId="4" fillId="0" borderId="0" xfId="0" applyFont="1"/>
    <xf numFmtId="0" fontId="15" fillId="0" borderId="0" xfId="0" quotePrefix="1" applyFont="1" applyFill="1" applyBorder="1" applyProtection="1"/>
    <xf numFmtId="166" fontId="10" fillId="0" borderId="9" xfId="2" applyNumberFormat="1" applyFont="1" applyFill="1" applyBorder="1" applyAlignment="1" applyProtection="1">
      <alignment horizontal="right"/>
    </xf>
    <xf numFmtId="44" fontId="10" fillId="0" borderId="2" xfId="0" applyNumberFormat="1" applyFont="1" applyFill="1" applyBorder="1" applyProtection="1"/>
    <xf numFmtId="0" fontId="7" fillId="0" borderId="3" xfId="0" applyFont="1" applyFill="1" applyBorder="1" applyProtection="1"/>
    <xf numFmtId="166" fontId="10" fillId="0" borderId="5" xfId="2" applyNumberFormat="1" applyFont="1" applyFill="1" applyBorder="1" applyAlignment="1" applyProtection="1">
      <alignment horizontal="right"/>
    </xf>
    <xf numFmtId="164" fontId="10" fillId="0" borderId="0" xfId="0" applyNumberFormat="1" applyFont="1" applyFill="1" applyBorder="1" applyAlignment="1" applyProtection="1">
      <alignment horizontal="right"/>
    </xf>
    <xf numFmtId="44" fontId="10" fillId="0" borderId="6" xfId="2" applyFont="1" applyFill="1" applyBorder="1" applyAlignment="1" applyProtection="1">
      <alignment horizontal="right"/>
    </xf>
    <xf numFmtId="166" fontId="10" fillId="0" borderId="10" xfId="2" applyNumberFormat="1" applyFont="1" applyFill="1" applyBorder="1" applyAlignment="1" applyProtection="1">
      <alignment horizontal="right"/>
    </xf>
    <xf numFmtId="166" fontId="10" fillId="0" borderId="11" xfId="2" applyNumberFormat="1" applyFont="1" applyFill="1" applyBorder="1" applyAlignment="1" applyProtection="1">
      <alignment horizontal="right"/>
    </xf>
    <xf numFmtId="7" fontId="9" fillId="0" borderId="0" xfId="2" applyNumberFormat="1" applyFont="1" applyFill="1" applyBorder="1" applyProtection="1"/>
    <xf numFmtId="7" fontId="9" fillId="0" borderId="0" xfId="2" applyNumberFormat="1" applyFont="1" applyFill="1" applyBorder="1" applyAlignment="1" applyProtection="1">
      <alignment horizontal="right"/>
    </xf>
    <xf numFmtId="0" fontId="15" fillId="0" borderId="15" xfId="0" applyFont="1" applyFill="1" applyBorder="1" applyAlignment="1" applyProtection="1">
      <alignment horizontal="center"/>
    </xf>
    <xf numFmtId="0" fontId="15" fillId="0" borderId="16" xfId="0" applyFont="1" applyFill="1" applyBorder="1" applyAlignment="1" applyProtection="1">
      <alignment horizontal="right"/>
    </xf>
    <xf numFmtId="0" fontId="15" fillId="0" borderId="17" xfId="0" applyFont="1" applyFill="1" applyBorder="1" applyAlignment="1" applyProtection="1">
      <alignment horizontal="right"/>
    </xf>
    <xf numFmtId="0" fontId="16" fillId="0" borderId="2" xfId="0" applyFont="1" applyFill="1" applyBorder="1" applyProtection="1"/>
    <xf numFmtId="0" fontId="15" fillId="0" borderId="3" xfId="0" applyFont="1" applyFill="1" applyBorder="1" applyProtection="1"/>
    <xf numFmtId="0" fontId="15" fillId="0" borderId="3" xfId="0" applyFont="1" applyFill="1" applyBorder="1" applyAlignment="1" applyProtection="1">
      <alignment horizontal="center"/>
    </xf>
    <xf numFmtId="0" fontId="15" fillId="0" borderId="4" xfId="0" applyFont="1" applyFill="1" applyBorder="1" applyAlignment="1" applyProtection="1">
      <alignment horizontal="center"/>
    </xf>
    <xf numFmtId="0" fontId="15" fillId="0" borderId="9" xfId="0" applyFont="1" applyFill="1" applyBorder="1" applyProtection="1"/>
    <xf numFmtId="0" fontId="15" fillId="0" borderId="10" xfId="0" applyFont="1" applyFill="1" applyBorder="1" applyProtection="1"/>
    <xf numFmtId="0" fontId="15" fillId="0" borderId="10" xfId="0" applyFont="1" applyFill="1" applyBorder="1" applyAlignment="1" applyProtection="1">
      <alignment horizontal="center"/>
    </xf>
    <xf numFmtId="0" fontId="15" fillId="0" borderId="11" xfId="0" applyFont="1" applyFill="1" applyBorder="1" applyAlignment="1" applyProtection="1">
      <alignment horizontal="center"/>
    </xf>
    <xf numFmtId="0" fontId="15" fillId="0" borderId="1" xfId="0" applyFont="1" applyFill="1" applyBorder="1" applyProtection="1"/>
    <xf numFmtId="9" fontId="3" fillId="0" borderId="1" xfId="0" applyNumberFormat="1" applyFont="1" applyFill="1" applyBorder="1" applyProtection="1">
      <protection locked="0"/>
    </xf>
    <xf numFmtId="2" fontId="3" fillId="0" borderId="1" xfId="0" applyNumberFormat="1" applyFont="1" applyFill="1" applyBorder="1" applyProtection="1">
      <protection locked="0"/>
    </xf>
    <xf numFmtId="164" fontId="3" fillId="0" borderId="1" xfId="0" applyNumberFormat="1" applyFont="1" applyFill="1" applyBorder="1" applyProtection="1">
      <protection locked="0"/>
    </xf>
    <xf numFmtId="164" fontId="5" fillId="0" borderId="1" xfId="0" applyNumberFormat="1" applyFont="1" applyFill="1" applyBorder="1" applyProtection="1">
      <protection locked="0"/>
    </xf>
    <xf numFmtId="10" fontId="3" fillId="0" borderId="1" xfId="3" applyNumberFormat="1" applyFont="1" applyFill="1" applyBorder="1" applyProtection="1">
      <protection locked="0"/>
    </xf>
    <xf numFmtId="0" fontId="17" fillId="2" borderId="0" xfId="0" applyFont="1" applyFill="1" applyBorder="1"/>
    <xf numFmtId="0" fontId="3" fillId="0" borderId="10" xfId="0" applyFont="1" applyFill="1" applyBorder="1"/>
    <xf numFmtId="0" fontId="12" fillId="0" borderId="18" xfId="0" applyFont="1" applyFill="1" applyBorder="1"/>
    <xf numFmtId="0" fontId="3" fillId="0" borderId="18" xfId="0" applyFont="1" applyFill="1" applyBorder="1" applyProtection="1">
      <protection locked="0"/>
    </xf>
    <xf numFmtId="0" fontId="3" fillId="0" borderId="18" xfId="0" applyFont="1" applyFill="1" applyBorder="1"/>
    <xf numFmtId="0" fontId="2" fillId="0" borderId="18" xfId="0" applyFont="1" applyFill="1" applyBorder="1"/>
    <xf numFmtId="0" fontId="18" fillId="0" borderId="18" xfId="0" applyFont="1" applyFill="1" applyBorder="1"/>
    <xf numFmtId="0" fontId="5" fillId="4" borderId="19" xfId="0" applyNumberFormat="1" applyFont="1" applyFill="1" applyBorder="1" applyProtection="1">
      <protection locked="0"/>
    </xf>
    <xf numFmtId="0" fontId="5" fillId="4" borderId="20" xfId="0" applyNumberFormat="1" applyFont="1" applyFill="1" applyBorder="1" applyProtection="1">
      <protection locked="0"/>
    </xf>
    <xf numFmtId="0" fontId="5" fillId="4" borderId="21" xfId="0" applyNumberFormat="1" applyFont="1" applyFill="1" applyBorder="1" applyProtection="1">
      <protection locked="0"/>
    </xf>
    <xf numFmtId="0" fontId="5" fillId="4" borderId="0" xfId="0" applyNumberFormat="1" applyFont="1" applyFill="1" applyBorder="1" applyProtection="1">
      <protection locked="0"/>
    </xf>
    <xf numFmtId="0" fontId="5" fillId="4" borderId="22" xfId="0" applyNumberFormat="1" applyFont="1" applyFill="1" applyBorder="1" applyProtection="1">
      <protection locked="0"/>
    </xf>
    <xf numFmtId="0" fontId="5" fillId="4" borderId="23" xfId="0" applyNumberFormat="1" applyFont="1" applyFill="1" applyBorder="1" applyProtection="1">
      <protection locked="0"/>
    </xf>
    <xf numFmtId="0" fontId="5" fillId="4" borderId="24" xfId="0" quotePrefix="1" applyNumberFormat="1" applyFont="1" applyFill="1" applyBorder="1" applyAlignment="1" applyProtection="1">
      <alignment horizontal="left"/>
      <protection locked="0"/>
    </xf>
    <xf numFmtId="0" fontId="5" fillId="4" borderId="25" xfId="0" applyNumberFormat="1" applyFont="1" applyFill="1" applyBorder="1" applyProtection="1">
      <protection locked="0"/>
    </xf>
    <xf numFmtId="0" fontId="5" fillId="4" borderId="26" xfId="0" applyNumberFormat="1" applyFont="1" applyFill="1" applyBorder="1" applyProtection="1">
      <protection locked="0"/>
    </xf>
    <xf numFmtId="0" fontId="5" fillId="4" borderId="27" xfId="0" applyNumberFormat="1" applyFont="1" applyFill="1" applyBorder="1" applyProtection="1">
      <protection locked="0"/>
    </xf>
    <xf numFmtId="0" fontId="5" fillId="4" borderId="28" xfId="0" applyNumberFormat="1" applyFont="1" applyFill="1" applyBorder="1" applyProtection="1">
      <protection locked="0"/>
    </xf>
    <xf numFmtId="0" fontId="5" fillId="4" borderId="29" xfId="0" applyNumberFormat="1" applyFont="1" applyFill="1" applyBorder="1" applyProtection="1">
      <protection locked="0"/>
    </xf>
    <xf numFmtId="0" fontId="3" fillId="2" borderId="0" xfId="0" applyFont="1" applyFill="1" applyBorder="1" applyAlignment="1" applyProtection="1">
      <alignment horizontal="center"/>
      <protection locked="0"/>
    </xf>
    <xf numFmtId="0" fontId="3" fillId="2" borderId="0" xfId="0" quotePrefix="1" applyFont="1" applyFill="1" applyBorder="1" applyAlignment="1">
      <alignment horizontal="center"/>
    </xf>
    <xf numFmtId="4" fontId="5" fillId="2" borderId="0" xfId="0" applyNumberFormat="1" applyFont="1" applyFill="1" applyBorder="1"/>
    <xf numFmtId="4" fontId="3" fillId="2" borderId="0" xfId="0" applyNumberFormat="1" applyFont="1" applyFill="1" applyBorder="1"/>
    <xf numFmtId="4" fontId="3" fillId="2" borderId="0" xfId="0" applyNumberFormat="1" applyFont="1" applyFill="1" applyBorder="1" applyProtection="1">
      <protection locked="0"/>
    </xf>
    <xf numFmtId="0" fontId="19" fillId="0" borderId="18" xfId="0" applyFont="1" applyFill="1" applyBorder="1"/>
    <xf numFmtId="0" fontId="5" fillId="0" borderId="18" xfId="0" applyFont="1" applyFill="1" applyBorder="1"/>
    <xf numFmtId="0" fontId="8" fillId="0" borderId="18" xfId="0" applyFont="1" applyFill="1" applyBorder="1"/>
    <xf numFmtId="0" fontId="3" fillId="0" borderId="0" xfId="0" applyFont="1" applyFill="1"/>
    <xf numFmtId="0" fontId="0" fillId="0" borderId="0" xfId="0" applyFill="1"/>
    <xf numFmtId="1" fontId="5" fillId="3" borderId="8" xfId="0" applyNumberFormat="1" applyFont="1" applyFill="1" applyBorder="1" applyAlignment="1" applyProtection="1">
      <alignment horizontal="center"/>
    </xf>
    <xf numFmtId="0" fontId="5" fillId="3" borderId="8" xfId="0" applyNumberFormat="1" applyFont="1" applyFill="1" applyBorder="1" applyProtection="1"/>
    <xf numFmtId="0" fontId="0" fillId="0" borderId="0" xfId="0" applyFill="1" applyAlignment="1">
      <alignment horizontal="left"/>
    </xf>
    <xf numFmtId="0" fontId="23" fillId="0" borderId="0" xfId="4" applyFill="1" applyBorder="1" applyProtection="1"/>
    <xf numFmtId="1" fontId="9" fillId="0" borderId="0" xfId="0" applyNumberFormat="1" applyFont="1" applyFill="1" applyBorder="1" applyProtection="1"/>
    <xf numFmtId="1" fontId="9" fillId="0" borderId="0" xfId="0" applyNumberFormat="1" applyFont="1"/>
    <xf numFmtId="1" fontId="9" fillId="0" borderId="12" xfId="0" applyNumberFormat="1" applyFont="1" applyFill="1" applyBorder="1" applyProtection="1"/>
    <xf numFmtId="1" fontId="10" fillId="0" borderId="0" xfId="0" applyNumberFormat="1" applyFont="1" applyFill="1" applyBorder="1" applyProtection="1"/>
    <xf numFmtId="3" fontId="9" fillId="0" borderId="0" xfId="0" applyNumberFormat="1" applyFont="1" applyFill="1" applyBorder="1" applyProtection="1"/>
    <xf numFmtId="3" fontId="9" fillId="0" borderId="0" xfId="2" applyNumberFormat="1" applyFont="1" applyFill="1" applyBorder="1" applyProtection="1"/>
    <xf numFmtId="3" fontId="9" fillId="0" borderId="14" xfId="0" applyNumberFormat="1" applyFont="1" applyFill="1" applyBorder="1" applyProtection="1"/>
    <xf numFmtId="3" fontId="10" fillId="0" borderId="0" xfId="0" applyNumberFormat="1" applyFont="1" applyFill="1" applyBorder="1" applyProtection="1"/>
  </cellXfs>
  <cellStyles count="5">
    <cellStyle name="Comma" xfId="1" builtinId="3"/>
    <cellStyle name="Currency" xfId="2" builtinId="4"/>
    <cellStyle name="Hyperlink" xfId="4" builtinId="8"/>
    <cellStyle name="Normal" xfId="0" builtinId="0"/>
    <cellStyle name="Percent" xfId="3" builtinId="5"/>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ctrlProps/ctrlProp1.xml><?xml version="1.0" encoding="utf-8"?>
<formControlPr xmlns="http://schemas.microsoft.com/office/spreadsheetml/2009/9/main" objectType="Button" lockText="1"/>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3.xml.rels><?xml version="1.0" encoding="UTF-8" standalone="yes"?>
<Relationships xmlns="http://schemas.openxmlformats.org/package/2006/relationships"><Relationship Id="rId1" Type="http://schemas.openxmlformats.org/officeDocument/2006/relationships/image" Target="../media/image2.png"/></Relationships>
</file>

<file path=xl/drawings/drawing1.xml><?xml version="1.0" encoding="utf-8"?>
<xdr:wsDr xmlns:xdr="http://schemas.openxmlformats.org/drawingml/2006/spreadsheetDrawing" xmlns:a="http://schemas.openxmlformats.org/drawingml/2006/main">
  <xdr:twoCellAnchor>
    <xdr:from>
      <xdr:col>1</xdr:col>
      <xdr:colOff>22860</xdr:colOff>
      <xdr:row>6</xdr:row>
      <xdr:rowOff>0</xdr:rowOff>
    </xdr:from>
    <xdr:to>
      <xdr:col>14</xdr:col>
      <xdr:colOff>22860</xdr:colOff>
      <xdr:row>8</xdr:row>
      <xdr:rowOff>68580</xdr:rowOff>
    </xdr:to>
    <xdr:sp macro="" textlink="">
      <xdr:nvSpPr>
        <xdr:cNvPr id="3088" name="Text Box 1">
          <a:extLst>
            <a:ext uri="{FF2B5EF4-FFF2-40B4-BE49-F238E27FC236}">
              <a16:creationId xmlns:a16="http://schemas.microsoft.com/office/drawing/2014/main" id="{00000000-0008-0000-0000-0000100C0000}"/>
            </a:ext>
          </a:extLst>
        </xdr:cNvPr>
        <xdr:cNvSpPr txBox="1">
          <a:spLocks noChangeArrowheads="1"/>
        </xdr:cNvSpPr>
      </xdr:nvSpPr>
      <xdr:spPr bwMode="auto">
        <a:xfrm>
          <a:off x="205740" y="0"/>
          <a:ext cx="5943600" cy="464820"/>
        </a:xfrm>
        <a:prstGeom prst="rect">
          <a:avLst/>
        </a:prstGeom>
        <a:noFill/>
        <a:ln>
          <a:noFill/>
        </a:ln>
        <a:extLst>
          <a:ext uri="{909E8E84-426E-40DD-AFC4-6F175D3DCCD1}">
            <a14:hiddenFill xmlns:a14="http://schemas.microsoft.com/office/drawing/2010/main">
              <a:solidFill>
                <a:srgbClr xmlns:mc="http://schemas.openxmlformats.org/markup-compatibility/2006" val="FFFFFF" mc:Ignorable="a14" a14:legacySpreadsheetColorIndex="9"/>
              </a:solidFill>
            </a14:hiddenFill>
          </a:ext>
          <a:ext uri="{91240B29-F687-4F45-9708-019B960494DF}">
            <a14:hiddenLine xmlns:a14="http://schemas.microsoft.com/office/drawing/2010/main" w="9525">
              <a:solidFill>
                <a:srgbClr xmlns:mc="http://schemas.openxmlformats.org/markup-compatibility/2006" val="000000" mc:Ignorable="a14" a14:legacySpreadsheetColorIndex="64"/>
              </a:solidFill>
              <a:miter lim="800000"/>
              <a:headEnd/>
              <a:tailEnd/>
            </a14:hiddenLine>
          </a:ext>
        </a:extLst>
      </xdr:spPr>
      <xdr:txBody>
        <a:bodyPr/>
        <a:lstStyle/>
        <a:p>
          <a:endParaRPr lang="en-US"/>
        </a:p>
        <a:p>
          <a:endParaRPr lang="en-US"/>
        </a:p>
      </xdr:txBody>
    </xdr:sp>
    <xdr:clientData/>
  </xdr:twoCellAnchor>
  <xdr:twoCellAnchor>
    <xdr:from>
      <xdr:col>1</xdr:col>
      <xdr:colOff>99060</xdr:colOff>
      <xdr:row>6</xdr:row>
      <xdr:rowOff>0</xdr:rowOff>
    </xdr:from>
    <xdr:to>
      <xdr:col>13</xdr:col>
      <xdr:colOff>60960</xdr:colOff>
      <xdr:row>11</xdr:row>
      <xdr:rowOff>160020</xdr:rowOff>
    </xdr:to>
    <xdr:sp macro="" textlink="">
      <xdr:nvSpPr>
        <xdr:cNvPr id="3075" name="Text Box 3">
          <a:extLst>
            <a:ext uri="{FF2B5EF4-FFF2-40B4-BE49-F238E27FC236}">
              <a16:creationId xmlns:a16="http://schemas.microsoft.com/office/drawing/2014/main" id="{00000000-0008-0000-0000-0000030C0000}"/>
            </a:ext>
          </a:extLst>
        </xdr:cNvPr>
        <xdr:cNvSpPr txBox="1">
          <a:spLocks noChangeArrowheads="1"/>
        </xdr:cNvSpPr>
      </xdr:nvSpPr>
      <xdr:spPr bwMode="auto">
        <a:xfrm>
          <a:off x="281940" y="0"/>
          <a:ext cx="5448300" cy="1150620"/>
        </a:xfrm>
        <a:prstGeom prst="rect">
          <a:avLst/>
        </a:prstGeom>
        <a:noFill/>
        <a:ln>
          <a:noFill/>
        </a:ln>
      </xdr:spPr>
      <xdr:txBody>
        <a:bodyPr vertOverflow="clip" wrap="square" lIns="54864" tIns="41148" rIns="0" bIns="0" anchor="t" upright="1"/>
        <a:lstStyle/>
        <a:p>
          <a:pPr algn="l" rtl="0">
            <a:lnSpc>
              <a:spcPts val="2300"/>
            </a:lnSpc>
            <a:defRPr sz="1000"/>
          </a:pPr>
          <a:r>
            <a:rPr lang="en-US" sz="2000" b="1" i="0" u="none" strike="noStrike" baseline="0">
              <a:solidFill>
                <a:srgbClr val="993366"/>
              </a:solidFill>
              <a:latin typeface="CAC Futura Casual"/>
            </a:rPr>
            <a:t>Alabama Interactive Meat Goat </a:t>
          </a:r>
        </a:p>
        <a:p>
          <a:pPr algn="l" rtl="0">
            <a:lnSpc>
              <a:spcPts val="2200"/>
            </a:lnSpc>
            <a:defRPr sz="1000"/>
          </a:pPr>
          <a:r>
            <a:rPr lang="en-US" sz="2000" b="1" i="0" u="none" strike="noStrike" baseline="0">
              <a:solidFill>
                <a:srgbClr val="993366"/>
              </a:solidFill>
              <a:latin typeface="CAC Futura Casual"/>
            </a:rPr>
            <a:t>Enterprise Budget</a:t>
          </a:r>
        </a:p>
      </xdr:txBody>
    </xdr:sp>
    <xdr:clientData/>
  </xdr:twoCellAnchor>
  <xdr:twoCellAnchor>
    <xdr:from>
      <xdr:col>1</xdr:col>
      <xdr:colOff>0</xdr:colOff>
      <xdr:row>9</xdr:row>
      <xdr:rowOff>0</xdr:rowOff>
    </xdr:from>
    <xdr:to>
      <xdr:col>10</xdr:col>
      <xdr:colOff>434340</xdr:colOff>
      <xdr:row>14</xdr:row>
      <xdr:rowOff>0</xdr:rowOff>
    </xdr:to>
    <xdr:sp macro="" textlink="">
      <xdr:nvSpPr>
        <xdr:cNvPr id="3078" name="Text Box 6">
          <a:extLst>
            <a:ext uri="{FF2B5EF4-FFF2-40B4-BE49-F238E27FC236}">
              <a16:creationId xmlns:a16="http://schemas.microsoft.com/office/drawing/2014/main" id="{00000000-0008-0000-0000-0000060C0000}"/>
            </a:ext>
          </a:extLst>
        </xdr:cNvPr>
        <xdr:cNvSpPr txBox="1">
          <a:spLocks noChangeArrowheads="1"/>
        </xdr:cNvSpPr>
      </xdr:nvSpPr>
      <xdr:spPr bwMode="auto">
        <a:xfrm>
          <a:off x="182880" y="594360"/>
          <a:ext cx="4549140" cy="990600"/>
        </a:xfrm>
        <a:prstGeom prst="rect">
          <a:avLst/>
        </a:prstGeom>
        <a:noFill/>
        <a:ln>
          <a:noFill/>
        </a:ln>
      </xdr:spPr>
      <xdr:txBody>
        <a:bodyPr vertOverflow="clip" wrap="square" lIns="36576" tIns="27432" rIns="0" bIns="0" anchor="t" upright="1"/>
        <a:lstStyle/>
        <a:p>
          <a:pPr algn="l" rtl="0">
            <a:defRPr sz="1000"/>
          </a:pPr>
          <a:r>
            <a:rPr lang="en-US" sz="1200" b="0" i="0" u="none" strike="noStrike" baseline="0">
              <a:solidFill>
                <a:srgbClr val="000000"/>
              </a:solidFill>
              <a:latin typeface="Arial"/>
              <a:cs typeface="Arial"/>
            </a:rPr>
            <a:t>This spreadsheet provides potential and existing meat goat producers an opportunity to evaluate meat goat enterprises.  By using this spreadsheet as a planning tool, producers may make adjustments to their meat goat operations that will improve the profitability of the operation.  </a:t>
          </a:r>
        </a:p>
      </xdr:txBody>
    </xdr:sp>
    <xdr:clientData/>
  </xdr:twoCellAnchor>
  <xdr:twoCellAnchor>
    <xdr:from>
      <xdr:col>1</xdr:col>
      <xdr:colOff>175260</xdr:colOff>
      <xdr:row>15</xdr:row>
      <xdr:rowOff>182880</xdr:rowOff>
    </xdr:from>
    <xdr:to>
      <xdr:col>16</xdr:col>
      <xdr:colOff>137160</xdr:colOff>
      <xdr:row>20</xdr:row>
      <xdr:rowOff>30480</xdr:rowOff>
    </xdr:to>
    <xdr:sp macro="" textlink="">
      <xdr:nvSpPr>
        <xdr:cNvPr id="3087" name="Text Box 15">
          <a:extLst>
            <a:ext uri="{FF2B5EF4-FFF2-40B4-BE49-F238E27FC236}">
              <a16:creationId xmlns:a16="http://schemas.microsoft.com/office/drawing/2014/main" id="{00000000-0008-0000-0000-00000F0C0000}"/>
            </a:ext>
          </a:extLst>
        </xdr:cNvPr>
        <xdr:cNvSpPr txBox="1">
          <a:spLocks noChangeArrowheads="1"/>
        </xdr:cNvSpPr>
      </xdr:nvSpPr>
      <xdr:spPr bwMode="auto">
        <a:xfrm>
          <a:off x="358140" y="1965960"/>
          <a:ext cx="6819900" cy="853440"/>
        </a:xfrm>
        <a:prstGeom prst="rect">
          <a:avLst/>
        </a:prstGeom>
        <a:noFill/>
        <a:ln>
          <a:noFill/>
        </a:ln>
      </xdr:spPr>
      <xdr:txBody>
        <a:bodyPr vertOverflow="clip" wrap="square" lIns="36576" tIns="27432" rIns="0" bIns="0" anchor="t" upright="1"/>
        <a:lstStyle/>
        <a:p>
          <a:pPr algn="l" rtl="0">
            <a:defRPr sz="1000"/>
          </a:pPr>
          <a:r>
            <a:rPr lang="en-US" sz="1000" b="0" i="0" u="none" strike="noStrike" baseline="0">
              <a:solidFill>
                <a:srgbClr val="000000"/>
              </a:solidFill>
              <a:latin typeface="Arial"/>
              <a:cs typeface="Arial"/>
            </a:rPr>
            <a:t>This interactive enterprise budget was adopted from Dr. Jay M. Lillywhite goat budget developed for the Agricultural Utilization Research Institute in conjunction with the "Feasiblity of Meat Goats in Minnesota" study.  Individuals using the spreadsheet are soley responsible for determining the suitablity and accuracy of this program for their particular needs.  The program carries no warranties expressed or implied.  </a:t>
          </a:r>
        </a:p>
      </xdr:txBody>
    </xdr:sp>
    <xdr:clientData/>
  </xdr:twoCellAnchor>
  <xdr:twoCellAnchor editAs="oneCell">
    <xdr:from>
      <xdr:col>0</xdr:col>
      <xdr:colOff>0</xdr:colOff>
      <xdr:row>0</xdr:row>
      <xdr:rowOff>0</xdr:rowOff>
    </xdr:from>
    <xdr:to>
      <xdr:col>10</xdr:col>
      <xdr:colOff>114300</xdr:colOff>
      <xdr:row>5</xdr:row>
      <xdr:rowOff>172603</xdr:rowOff>
    </xdr:to>
    <xdr:pic>
      <xdr:nvPicPr>
        <xdr:cNvPr id="6" name="Picture 5">
          <a:extLst>
            <a:ext uri="{FF2B5EF4-FFF2-40B4-BE49-F238E27FC236}">
              <a16:creationId xmlns:a16="http://schemas.microsoft.com/office/drawing/2014/main" id="{00000000-0008-0000-0000-000006000000}"/>
            </a:ext>
          </a:extLst>
        </xdr:cNvPr>
        <xdr:cNvPicPr>
          <a:picLocks noChangeAspect="1"/>
        </xdr:cNvPicPr>
      </xdr:nvPicPr>
      <xdr:blipFill>
        <a:blip xmlns:r="http://schemas.openxmlformats.org/officeDocument/2006/relationships" r:embed="rId1"/>
        <a:stretch>
          <a:fillRect/>
        </a:stretch>
      </xdr:blipFill>
      <xdr:spPr>
        <a:xfrm>
          <a:off x="0" y="0"/>
          <a:ext cx="4411980" cy="1163203"/>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xdr:from>
          <xdr:col>1</xdr:col>
          <xdr:colOff>0</xdr:colOff>
          <xdr:row>0</xdr:row>
          <xdr:rowOff>0</xdr:rowOff>
        </xdr:from>
        <xdr:to>
          <xdr:col>2</xdr:col>
          <xdr:colOff>1651000</xdr:colOff>
          <xdr:row>1</xdr:row>
          <xdr:rowOff>63500</xdr:rowOff>
        </xdr:to>
        <xdr:sp macro="" textlink="">
          <xdr:nvSpPr>
            <xdr:cNvPr id="8193" name="Button 1" hidden="1">
              <a:extLst>
                <a:ext uri="{63B3BB69-23CF-44E3-9099-C40C66FF867C}">
                  <a14:compatExt spid="_x0000_s8193"/>
                </a:ext>
                <a:ext uri="{FF2B5EF4-FFF2-40B4-BE49-F238E27FC236}">
                  <a16:creationId xmlns:a16="http://schemas.microsoft.com/office/drawing/2014/main" id="{00000000-0008-0000-0100-000001200000}"/>
                </a:ext>
              </a:extLst>
            </xdr:cNvPr>
            <xdr:cNvSpPr/>
          </xdr:nvSpPr>
          <xdr:spPr bwMode="auto">
            <a:xfrm>
              <a:off x="0" y="0"/>
              <a:ext cx="0" cy="0"/>
            </a:xfrm>
            <a:prstGeom prst="rect">
              <a:avLst/>
            </a:prstGeom>
            <a:noFill/>
            <a:ln w="9525">
              <a:miter lim="800000"/>
              <a:headEnd/>
              <a:tailEnd/>
            </a:ln>
          </xdr:spPr>
          <xdr:txBody>
            <a:bodyPr vertOverflow="clip" wrap="square" lIns="27432" tIns="18288" rIns="27432" bIns="18288" anchor="ctr" upright="1"/>
            <a:lstStyle/>
            <a:p>
              <a:pPr algn="ctr" rtl="0">
                <a:defRPr sz="1000"/>
              </a:pPr>
              <a:r>
                <a:rPr lang="en-US" sz="1000" b="0" i="0" u="none" strike="noStrike" baseline="0">
                  <a:solidFill>
                    <a:srgbClr val="000000"/>
                  </a:solidFill>
                  <a:latin typeface="Arial" pitchFamily="2" charset="0"/>
                  <a:cs typeface="Arial" pitchFamily="2" charset="0"/>
                </a:rPr>
                <a:t>Main Menu</a:t>
              </a:r>
            </a:p>
          </xdr:txBody>
        </xdr:sp>
        <xdr:clientData fPrintsWithSheet="0"/>
      </xdr:twoCellAnchor>
    </mc:Choice>
    <mc:Fallback/>
  </mc:AlternateContent>
</xdr:wsDr>
</file>

<file path=xl/drawings/drawing3.xml><?xml version="1.0" encoding="utf-8"?>
<xdr:wsDr xmlns:xdr="http://schemas.openxmlformats.org/drawingml/2006/spreadsheetDrawing" xmlns:a="http://schemas.openxmlformats.org/drawingml/2006/main">
  <xdr:twoCellAnchor editAs="oneCell">
    <xdr:from>
      <xdr:col>9</xdr:col>
      <xdr:colOff>665975</xdr:colOff>
      <xdr:row>1</xdr:row>
      <xdr:rowOff>92927</xdr:rowOff>
    </xdr:from>
    <xdr:to>
      <xdr:col>12</xdr:col>
      <xdr:colOff>594626</xdr:colOff>
      <xdr:row>4</xdr:row>
      <xdr:rowOff>176425</xdr:rowOff>
    </xdr:to>
    <xdr:pic>
      <xdr:nvPicPr>
        <xdr:cNvPr id="2" name="Picture 1">
          <a:extLst>
            <a:ext uri="{FF2B5EF4-FFF2-40B4-BE49-F238E27FC236}">
              <a16:creationId xmlns:a16="http://schemas.microsoft.com/office/drawing/2014/main" id="{510B0CAF-E108-A849-B491-E8761D9C2D24}"/>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7325731" y="247805"/>
          <a:ext cx="2375724" cy="625571"/>
        </a:xfrm>
        <a:prstGeom prst="rect">
          <a:avLst/>
        </a:prstGeom>
      </xdr:spPr>
    </xdr:pic>
    <xdr:clientData fLocksWithSheet="0"/>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spDef>
      <a:spPr bwMode="auto">
        <a:xfrm>
          <a:off x="0" y="0"/>
          <a:ext cx="1" cy="1"/>
        </a:xfrm>
        <a:custGeom>
          <a:avLst/>
          <a:gdLst/>
          <a:ahLst/>
          <a:cxnLst/>
          <a:rect l="0" t="0" r="0" b="0"/>
          <a:pathLst/>
        </a:custGeom>
        <a:solidFill>
          <a:srgbClr xmlns:mc="http://schemas.openxmlformats.org/markup-compatibility/2006" xmlns:a14="http://schemas.microsoft.com/office/drawing/2010/main" val="090000" mc:Ignorable="a14" a14:legacySpreadsheetColorIndex="9"/>
        </a:solidFill>
        <a:ln w="9525" cap="flat" cmpd="sng" algn="ctr">
          <a:solidFill>
            <a:srgbClr xmlns:mc="http://schemas.openxmlformats.org/markup-compatibility/2006" xmlns:a14="http://schemas.microsoft.com/office/drawing/2010/main" val="400000" mc:Ignorable="a14" a14:legacySpreadsheetColorIndex="64"/>
          </a:solidFill>
          <a:prstDash val="solid"/>
          <a:round/>
          <a:headEnd type="none" w="med" len="med"/>
          <a:tailEnd type="none" w="med" len="med"/>
        </a:ln>
        <a:effectLst/>
      </a:spPr>
      <a:bodyPr vertOverflow="clip" wrap="square" lIns="18288" tIns="0" rIns="0" bIns="0" upright="1"/>
      <a:lstStyle/>
    </a:spDef>
    <a:lnDef>
      <a:spPr bwMode="auto">
        <a:xfrm>
          <a:off x="0" y="0"/>
          <a:ext cx="1" cy="1"/>
        </a:xfrm>
        <a:custGeom>
          <a:avLst/>
          <a:gdLst/>
          <a:ahLst/>
          <a:cxnLst/>
          <a:rect l="0" t="0" r="0" b="0"/>
          <a:pathLst/>
        </a:custGeom>
        <a:solidFill>
          <a:srgbClr xmlns:mc="http://schemas.openxmlformats.org/markup-compatibility/2006" xmlns:a14="http://schemas.microsoft.com/office/drawing/2010/main" val="090000" mc:Ignorable="a14" a14:legacySpreadsheetColorIndex="9"/>
        </a:solidFill>
        <a:ln w="9525" cap="flat" cmpd="sng" algn="ctr">
          <a:solidFill>
            <a:srgbClr xmlns:mc="http://schemas.openxmlformats.org/markup-compatibility/2006" xmlns:a14="http://schemas.microsoft.com/office/drawing/2010/main" val="400000" mc:Ignorable="a14" a14:legacySpreadsheetColorIndex="64"/>
          </a:solidFill>
          <a:prstDash val="solid"/>
          <a:round/>
          <a:headEnd type="none" w="med" len="med"/>
          <a:tailEnd type="none" w="med" len="med"/>
        </a:ln>
        <a:effectLst/>
      </a:spPr>
      <a:bodyPr vertOverflow="clip" wrap="square" lIns="18288" tIns="0" rIns="0" bIns="0" upright="1"/>
      <a:lstStyle/>
    </a:lnDef>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2.xml"/><Relationship Id="rId1" Type="http://schemas.openxmlformats.org/officeDocument/2006/relationships/printerSettings" Target="../printerSettings/printerSettings2.bin"/><Relationship Id="rId4" Type="http://schemas.openxmlformats.org/officeDocument/2006/relationships/ctrlProp" Target="../ctrlProps/ctrlProp1.xml"/></Relationships>
</file>

<file path=xl/worksheets/_rels/sheet3.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2.v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3" Type="http://schemas.openxmlformats.org/officeDocument/2006/relationships/drawing" Target="../drawings/drawing3.xml"/><Relationship Id="rId2" Type="http://schemas.openxmlformats.org/officeDocument/2006/relationships/printerSettings" Target="../printerSettings/printerSettings4.bin"/><Relationship Id="rId1" Type="http://schemas.openxmlformats.org/officeDocument/2006/relationships/hyperlink" Target="https://www.aces.edu/blog/tag/sheep-and-goats,ruminants/?c=livestock&amp;orderby=title"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2">
    <tabColor indexed="10"/>
  </sheetPr>
  <dimension ref="B16:E24"/>
  <sheetViews>
    <sheetView showGridLines="0" showRowColHeaders="0" zoomScaleNormal="100" workbookViewId="0">
      <selection activeCell="Y24" sqref="Y24"/>
    </sheetView>
  </sheetViews>
  <sheetFormatPr baseColWidth="10" defaultColWidth="6.6640625" defaultRowHeight="15.75" customHeight="1" x14ac:dyDescent="0.15"/>
  <cols>
    <col min="1" max="1" width="2.6640625" style="150" customWidth="1"/>
    <col min="2" max="16384" width="6.6640625" style="150"/>
  </cols>
  <sheetData>
    <row r="16" spans="5:5" ht="15.75" customHeight="1" x14ac:dyDescent="0.15">
      <c r="E16" s="153"/>
    </row>
    <row r="17" spans="2:2" ht="17.25" customHeight="1" x14ac:dyDescent="0.15"/>
    <row r="21" spans="2:2" ht="15.75" customHeight="1" x14ac:dyDescent="0.15">
      <c r="B21" s="149" t="s">
        <v>261</v>
      </c>
    </row>
    <row r="22" spans="2:2" ht="15.75" customHeight="1" x14ac:dyDescent="0.15">
      <c r="B22" s="150" t="s">
        <v>216</v>
      </c>
    </row>
    <row r="23" spans="2:2" ht="15.75" customHeight="1" x14ac:dyDescent="0.15">
      <c r="B23" s="150" t="s">
        <v>217</v>
      </c>
    </row>
    <row r="24" spans="2:2" ht="15.75" customHeight="1" x14ac:dyDescent="0.15">
      <c r="B24" s="150" t="s">
        <v>218</v>
      </c>
    </row>
  </sheetData>
  <phoneticPr fontId="14" type="noConversion"/>
  <pageMargins left="0.5" right="0.5" top="1" bottom="1" header="0.5" footer="0.5"/>
  <pageSetup orientation="landscape" r:id="rId1"/>
  <headerFooter alignWithMargins="0"/>
  <drawing r:id="rId2"/>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1"/>
  <dimension ref="B4:C18"/>
  <sheetViews>
    <sheetView showGridLines="0" showRowColHeaders="0" workbookViewId="0"/>
  </sheetViews>
  <sheetFormatPr baseColWidth="10" defaultColWidth="9.1640625" defaultRowHeight="13" x14ac:dyDescent="0.15"/>
  <cols>
    <col min="1" max="1" width="2.6640625" style="3" customWidth="1"/>
    <col min="2" max="2" width="3.5" style="3" customWidth="1"/>
    <col min="3" max="3" width="106.83203125" style="3" customWidth="1"/>
    <col min="4" max="16384" width="9.1640625" style="3"/>
  </cols>
  <sheetData>
    <row r="4" spans="2:3" x14ac:dyDescent="0.15">
      <c r="B4" s="3" t="s">
        <v>94</v>
      </c>
    </row>
    <row r="6" spans="2:3" x14ac:dyDescent="0.15">
      <c r="B6" s="3" t="s">
        <v>95</v>
      </c>
      <c r="C6" s="3" t="s">
        <v>96</v>
      </c>
    </row>
    <row r="7" spans="2:3" x14ac:dyDescent="0.15">
      <c r="B7" s="3" t="s">
        <v>105</v>
      </c>
      <c r="C7" s="3" t="s">
        <v>112</v>
      </c>
    </row>
    <row r="8" spans="2:3" x14ac:dyDescent="0.15">
      <c r="B8" s="3" t="s">
        <v>97</v>
      </c>
      <c r="C8" s="3" t="s">
        <v>110</v>
      </c>
    </row>
    <row r="9" spans="2:3" x14ac:dyDescent="0.15">
      <c r="B9" s="3" t="s">
        <v>111</v>
      </c>
      <c r="C9" s="3" t="s">
        <v>113</v>
      </c>
    </row>
    <row r="10" spans="2:3" x14ac:dyDescent="0.15">
      <c r="B10" s="3" t="s">
        <v>103</v>
      </c>
      <c r="C10" s="3" t="s">
        <v>114</v>
      </c>
    </row>
    <row r="11" spans="2:3" x14ac:dyDescent="0.15">
      <c r="B11" s="3" t="s">
        <v>115</v>
      </c>
      <c r="C11" s="3" t="s">
        <v>116</v>
      </c>
    </row>
    <row r="12" spans="2:3" x14ac:dyDescent="0.15">
      <c r="B12" s="3" t="s">
        <v>108</v>
      </c>
      <c r="C12" s="3" t="s">
        <v>117</v>
      </c>
    </row>
    <row r="13" spans="2:3" x14ac:dyDescent="0.15">
      <c r="B13" s="3" t="s">
        <v>119</v>
      </c>
      <c r="C13" s="3" t="s">
        <v>118</v>
      </c>
    </row>
    <row r="14" spans="2:3" x14ac:dyDescent="0.15">
      <c r="B14" s="3" t="s">
        <v>120</v>
      </c>
      <c r="C14" s="3" t="s">
        <v>104</v>
      </c>
    </row>
    <row r="15" spans="2:3" x14ac:dyDescent="0.15">
      <c r="B15" s="3" t="s">
        <v>121</v>
      </c>
      <c r="C15" s="3" t="s">
        <v>106</v>
      </c>
    </row>
    <row r="16" spans="2:3" x14ac:dyDescent="0.15">
      <c r="B16" s="3" t="s">
        <v>122</v>
      </c>
      <c r="C16" s="3" t="s">
        <v>107</v>
      </c>
    </row>
    <row r="17" spans="2:3" x14ac:dyDescent="0.15">
      <c r="B17" s="3" t="s">
        <v>123</v>
      </c>
      <c r="C17" s="3" t="s">
        <v>109</v>
      </c>
    </row>
    <row r="18" spans="2:3" x14ac:dyDescent="0.15">
      <c r="B18" s="3" t="s">
        <v>124</v>
      </c>
      <c r="C18" s="3" t="s">
        <v>125</v>
      </c>
    </row>
  </sheetData>
  <phoneticPr fontId="14" type="noConversion"/>
  <pageMargins left="0.75" right="0.75" top="1" bottom="1" header="0.5" footer="0.5"/>
  <pageSetup orientation="portrait" horizontalDpi="300" verticalDpi="300" r:id="rId1"/>
  <headerFooter alignWithMargins="0"/>
  <drawing r:id="rId2"/>
  <legacyDrawing r:id="rId3"/>
  <mc:AlternateContent xmlns:mc="http://schemas.openxmlformats.org/markup-compatibility/2006">
    <mc:Choice Requires="x14">
      <controls>
        <mc:AlternateContent xmlns:mc="http://schemas.openxmlformats.org/markup-compatibility/2006">
          <mc:Choice Requires="x14">
            <control shapeId="8193" r:id="rId4" name="Button 1">
              <controlPr defaultSize="0" print="0" autoFill="0" autoPict="0" macro="[0]!budgetnotes2">
                <anchor moveWithCells="1" sizeWithCells="1">
                  <from>
                    <xdr:col>1</xdr:col>
                    <xdr:colOff>0</xdr:colOff>
                    <xdr:row>0</xdr:row>
                    <xdr:rowOff>0</xdr:rowOff>
                  </from>
                  <to>
                    <xdr:col>2</xdr:col>
                    <xdr:colOff>1651000</xdr:colOff>
                    <xdr:row>1</xdr:row>
                    <xdr:rowOff>63500</xdr:rowOff>
                  </to>
                </anchor>
              </controlPr>
            </control>
          </mc:Choice>
        </mc:AlternateContent>
      </controls>
    </mc:Choice>
  </mc:AlternateContent>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Sheet4">
    <tabColor indexed="13"/>
    <pageSetUpPr fitToPage="1"/>
  </sheetPr>
  <dimension ref="A1:V50"/>
  <sheetViews>
    <sheetView showGridLines="0" defaultGridColor="0" colorId="8" zoomScale="80" workbookViewId="0">
      <pane ySplit="1" topLeftCell="A2" activePane="bottomLeft" state="frozen"/>
      <selection pane="bottomLeft" activeCell="P6" sqref="P6:V40"/>
    </sheetView>
  </sheetViews>
  <sheetFormatPr baseColWidth="10" defaultColWidth="9.1640625" defaultRowHeight="17.75" customHeight="1" x14ac:dyDescent="0.15"/>
  <cols>
    <col min="1" max="3" width="1.6640625" style="2" customWidth="1"/>
    <col min="4" max="5" width="13.6640625" style="2" customWidth="1"/>
    <col min="6" max="6" width="12.33203125" style="12" customWidth="1"/>
    <col min="7" max="7" width="8.33203125" style="2" customWidth="1"/>
    <col min="8" max="10" width="1.6640625" style="2" customWidth="1"/>
    <col min="11" max="11" width="19.1640625" style="2" customWidth="1"/>
    <col min="12" max="12" width="10.5" style="2" customWidth="1"/>
    <col min="13" max="13" width="9.6640625" style="12" customWidth="1"/>
    <col min="14" max="17" width="1.6640625" style="2" customWidth="1"/>
    <col min="18" max="19" width="13.6640625" style="2" customWidth="1"/>
    <col min="20" max="20" width="12.6640625" style="12" customWidth="1"/>
    <col min="21" max="16384" width="9.1640625" style="3"/>
  </cols>
  <sheetData>
    <row r="1" spans="1:22" ht="17.75" customHeight="1" x14ac:dyDescent="0.15">
      <c r="D1" s="8"/>
      <c r="E1" s="3"/>
      <c r="K1" s="8"/>
    </row>
    <row r="2" spans="1:22" ht="17.75" customHeight="1" x14ac:dyDescent="0.2">
      <c r="D2" s="44" t="s">
        <v>252</v>
      </c>
    </row>
    <row r="3" spans="1:22" ht="17.75" customHeight="1" x14ac:dyDescent="0.15">
      <c r="D3" s="122" t="s">
        <v>251</v>
      </c>
    </row>
    <row r="4" spans="1:22" ht="17.75" customHeight="1" thickBot="1" x14ac:dyDescent="0.25">
      <c r="B4" s="123"/>
      <c r="C4" s="126"/>
      <c r="D4" s="127"/>
      <c r="E4" s="124" t="s">
        <v>172</v>
      </c>
      <c r="F4" s="125"/>
      <c r="G4" s="126"/>
      <c r="K4" s="124" t="s">
        <v>254</v>
      </c>
      <c r="L4" s="126"/>
      <c r="M4" s="128"/>
      <c r="R4" s="124"/>
      <c r="S4" s="124" t="s">
        <v>255</v>
      </c>
      <c r="T4" s="125"/>
      <c r="U4" s="126"/>
      <c r="V4" s="126"/>
    </row>
    <row r="5" spans="1:22" ht="17.75" customHeight="1" thickTop="1" x14ac:dyDescent="0.15">
      <c r="A5" s="1"/>
    </row>
    <row r="6" spans="1:22" ht="17.75" customHeight="1" x14ac:dyDescent="0.15">
      <c r="A6" s="45"/>
      <c r="B6" s="53" t="s">
        <v>79</v>
      </c>
      <c r="C6" s="46"/>
      <c r="D6" s="46"/>
      <c r="E6" s="46"/>
      <c r="F6" s="47"/>
      <c r="G6" s="46"/>
      <c r="H6" s="48"/>
      <c r="I6" s="51" t="s">
        <v>32</v>
      </c>
      <c r="J6" s="46"/>
      <c r="K6" s="46"/>
      <c r="L6" s="46"/>
      <c r="M6" s="47"/>
      <c r="N6" s="48"/>
      <c r="O6" s="46"/>
      <c r="P6" s="53" t="s">
        <v>37</v>
      </c>
      <c r="Q6" s="53"/>
      <c r="R6" s="46"/>
      <c r="S6" s="46"/>
      <c r="T6" s="47"/>
      <c r="U6" s="46"/>
      <c r="V6" s="48"/>
    </row>
    <row r="7" spans="1:22" ht="17.75" customHeight="1" x14ac:dyDescent="0.15">
      <c r="A7" s="49"/>
      <c r="C7" s="2" t="s">
        <v>19</v>
      </c>
      <c r="H7" s="50"/>
      <c r="I7" s="49"/>
      <c r="J7" s="2" t="s">
        <v>34</v>
      </c>
      <c r="M7" s="13">
        <v>0.33</v>
      </c>
      <c r="N7" s="50"/>
      <c r="Q7" s="2" t="s">
        <v>102</v>
      </c>
      <c r="T7" s="14">
        <v>0.85</v>
      </c>
      <c r="U7" s="8" t="s">
        <v>85</v>
      </c>
      <c r="V7" s="50"/>
    </row>
    <row r="8" spans="1:22" ht="17.75" customHeight="1" x14ac:dyDescent="0.15">
      <c r="A8" s="49"/>
      <c r="D8" s="2" t="s">
        <v>25</v>
      </c>
      <c r="F8" s="16">
        <v>50</v>
      </c>
      <c r="H8" s="50"/>
      <c r="I8" s="49"/>
      <c r="J8" s="2" t="s">
        <v>36</v>
      </c>
      <c r="M8" s="117">
        <v>0.14000000000000001</v>
      </c>
      <c r="N8" s="50"/>
      <c r="Q8" s="2" t="s">
        <v>43</v>
      </c>
      <c r="T8" s="16">
        <v>4</v>
      </c>
      <c r="U8" s="8" t="s">
        <v>101</v>
      </c>
      <c r="V8" s="50"/>
    </row>
    <row r="9" spans="1:22" ht="17.75" customHeight="1" x14ac:dyDescent="0.15">
      <c r="A9" s="49"/>
      <c r="D9" s="2" t="s">
        <v>253</v>
      </c>
      <c r="G9" s="16">
        <v>150</v>
      </c>
      <c r="H9" s="50"/>
      <c r="I9" s="52" t="s">
        <v>40</v>
      </c>
      <c r="N9" s="50"/>
      <c r="Q9" s="43" t="s">
        <v>162</v>
      </c>
      <c r="T9" s="14">
        <v>0.65</v>
      </c>
      <c r="U9" s="8" t="s">
        <v>85</v>
      </c>
      <c r="V9" s="50"/>
    </row>
    <row r="10" spans="1:22" ht="17.75" customHeight="1" x14ac:dyDescent="0.15">
      <c r="A10" s="49"/>
      <c r="D10" s="2" t="s">
        <v>22</v>
      </c>
      <c r="F10" s="16">
        <v>2</v>
      </c>
      <c r="H10" s="50"/>
      <c r="I10" s="49"/>
      <c r="J10" s="2" t="s">
        <v>42</v>
      </c>
      <c r="M10" s="13">
        <v>0.95</v>
      </c>
      <c r="N10" s="50"/>
      <c r="Q10" s="2" t="s">
        <v>163</v>
      </c>
      <c r="T10" s="16">
        <v>1</v>
      </c>
      <c r="U10" s="54" t="s">
        <v>164</v>
      </c>
      <c r="V10" s="50"/>
    </row>
    <row r="11" spans="1:22" ht="17.75" customHeight="1" x14ac:dyDescent="0.15">
      <c r="A11" s="49"/>
      <c r="D11" s="2" t="s">
        <v>205</v>
      </c>
      <c r="G11" s="16">
        <v>225</v>
      </c>
      <c r="H11" s="50"/>
      <c r="I11" s="49"/>
      <c r="J11" s="2" t="s">
        <v>45</v>
      </c>
      <c r="M11" s="13">
        <v>1.8</v>
      </c>
      <c r="N11" s="50"/>
      <c r="Q11" s="2" t="s">
        <v>179</v>
      </c>
      <c r="T11" s="14">
        <v>0.65</v>
      </c>
      <c r="U11" s="8" t="s">
        <v>85</v>
      </c>
      <c r="V11" s="50"/>
    </row>
    <row r="12" spans="1:22" ht="17.75" customHeight="1" x14ac:dyDescent="0.15">
      <c r="A12" s="49"/>
      <c r="D12" s="2" t="s">
        <v>206</v>
      </c>
      <c r="G12" s="16">
        <v>70</v>
      </c>
      <c r="H12" s="50"/>
      <c r="I12" s="52" t="s">
        <v>50</v>
      </c>
      <c r="N12" s="50"/>
      <c r="Q12" s="2" t="s">
        <v>163</v>
      </c>
      <c r="T12" s="16">
        <v>2</v>
      </c>
      <c r="U12" s="54" t="s">
        <v>84</v>
      </c>
      <c r="V12" s="50"/>
    </row>
    <row r="13" spans="1:22" ht="17.75" customHeight="1" thickBot="1" x14ac:dyDescent="0.2">
      <c r="A13" s="49"/>
      <c r="H13" s="50"/>
      <c r="I13" s="52"/>
      <c r="J13" s="2" t="s">
        <v>89</v>
      </c>
      <c r="M13" s="13">
        <v>0.01</v>
      </c>
      <c r="N13" s="50"/>
      <c r="Q13" s="2" t="s">
        <v>46</v>
      </c>
      <c r="T13" s="14">
        <v>30</v>
      </c>
      <c r="U13" s="8" t="s">
        <v>83</v>
      </c>
      <c r="V13" s="50"/>
    </row>
    <row r="14" spans="1:22" ht="17.75" customHeight="1" thickTop="1" thickBot="1" x14ac:dyDescent="0.2">
      <c r="A14" s="49"/>
      <c r="C14" s="129" t="s">
        <v>180</v>
      </c>
      <c r="D14" s="130"/>
      <c r="E14" s="130"/>
      <c r="F14" s="151">
        <f>F8*M10*M11-(M15*F8*M10*M11)</f>
        <v>72.674999999999997</v>
      </c>
      <c r="H14" s="50"/>
      <c r="I14" s="49"/>
      <c r="J14" s="2" t="s">
        <v>52</v>
      </c>
      <c r="M14" s="13">
        <v>0.01</v>
      </c>
      <c r="N14" s="50"/>
      <c r="V14" s="50"/>
    </row>
    <row r="15" spans="1:22" ht="17.75" customHeight="1" thickTop="1" thickBot="1" x14ac:dyDescent="0.2">
      <c r="A15" s="49"/>
      <c r="C15" s="131" t="s">
        <v>62</v>
      </c>
      <c r="D15" s="132"/>
      <c r="E15" s="132"/>
      <c r="F15" s="151">
        <f>F14-SUM(F16:F16)</f>
        <v>64.49499999999999</v>
      </c>
      <c r="H15" s="50"/>
      <c r="I15" s="49"/>
      <c r="J15" s="2" t="s">
        <v>55</v>
      </c>
      <c r="M15" s="13">
        <v>0.15</v>
      </c>
      <c r="N15" s="50"/>
      <c r="P15" s="1" t="s">
        <v>57</v>
      </c>
      <c r="U15" s="2"/>
      <c r="V15" s="50"/>
    </row>
    <row r="16" spans="1:22" ht="17.75" customHeight="1" thickTop="1" thickBot="1" x14ac:dyDescent="0.2">
      <c r="A16" s="49"/>
      <c r="C16" s="133" t="s">
        <v>219</v>
      </c>
      <c r="D16" s="134"/>
      <c r="E16" s="134"/>
      <c r="F16" s="151">
        <f>((M8+M14)*F8)+((M7+M13)*F10)</f>
        <v>8.1800000000000015</v>
      </c>
      <c r="H16" s="50"/>
      <c r="N16" s="50"/>
      <c r="Q16" s="2" t="s">
        <v>60</v>
      </c>
      <c r="T16" s="14">
        <v>100</v>
      </c>
      <c r="U16" s="8" t="s">
        <v>83</v>
      </c>
      <c r="V16" s="50"/>
    </row>
    <row r="17" spans="1:22" ht="17.75" customHeight="1" thickTop="1" x14ac:dyDescent="0.15">
      <c r="A17" s="49"/>
      <c r="H17" s="50"/>
      <c r="I17" s="52" t="s">
        <v>16</v>
      </c>
      <c r="J17" s="1"/>
      <c r="N17" s="50"/>
      <c r="Q17" s="2" t="s">
        <v>66</v>
      </c>
      <c r="T17" s="14">
        <v>55</v>
      </c>
      <c r="U17" s="8" t="s">
        <v>83</v>
      </c>
      <c r="V17" s="50"/>
    </row>
    <row r="18" spans="1:22" ht="17.75" customHeight="1" x14ac:dyDescent="0.15">
      <c r="A18" s="49"/>
      <c r="B18" s="1" t="s">
        <v>78</v>
      </c>
      <c r="H18" s="50"/>
      <c r="I18" s="49"/>
      <c r="J18" s="2" t="s">
        <v>100</v>
      </c>
      <c r="M18" s="118">
        <v>25</v>
      </c>
      <c r="N18" s="50"/>
      <c r="U18" s="54"/>
      <c r="V18" s="50"/>
    </row>
    <row r="19" spans="1:22" ht="17.75" customHeight="1" x14ac:dyDescent="0.15">
      <c r="A19" s="49"/>
      <c r="D19" s="2" t="s">
        <v>90</v>
      </c>
      <c r="F19" s="14">
        <v>150</v>
      </c>
      <c r="G19" s="4" t="s">
        <v>214</v>
      </c>
      <c r="H19" s="50"/>
      <c r="I19" s="49"/>
      <c r="J19" s="2" t="s">
        <v>193</v>
      </c>
      <c r="M19" s="119">
        <v>4.5</v>
      </c>
      <c r="N19" s="50"/>
      <c r="P19" s="1" t="s">
        <v>144</v>
      </c>
      <c r="U19" s="2"/>
      <c r="V19" s="50"/>
    </row>
    <row r="20" spans="1:22" ht="17.75" customHeight="1" x14ac:dyDescent="0.15">
      <c r="A20" s="49"/>
      <c r="D20" s="2" t="s">
        <v>174</v>
      </c>
      <c r="F20" s="57">
        <f>+(F19/G12)*100</f>
        <v>214.28571428571428</v>
      </c>
      <c r="G20" s="2" t="s">
        <v>175</v>
      </c>
      <c r="H20" s="50"/>
      <c r="I20" s="49"/>
      <c r="J20" s="2" t="s">
        <v>192</v>
      </c>
      <c r="M20" s="118">
        <v>4</v>
      </c>
      <c r="N20" s="66"/>
      <c r="Q20" s="2" t="s">
        <v>148</v>
      </c>
      <c r="T20" s="14">
        <v>2.74</v>
      </c>
      <c r="U20" s="54" t="s">
        <v>145</v>
      </c>
      <c r="V20" s="50"/>
    </row>
    <row r="21" spans="1:22" ht="17.75" customHeight="1" x14ac:dyDescent="0.15">
      <c r="A21" s="49"/>
      <c r="D21" s="2" t="s">
        <v>21</v>
      </c>
      <c r="F21" s="14">
        <v>300</v>
      </c>
      <c r="G21" s="4" t="s">
        <v>214</v>
      </c>
      <c r="H21" s="50"/>
      <c r="I21" s="49"/>
      <c r="J21" s="2" t="s">
        <v>165</v>
      </c>
      <c r="M21" s="118">
        <v>5</v>
      </c>
      <c r="N21" s="67"/>
      <c r="Q21" s="2" t="s">
        <v>146</v>
      </c>
      <c r="T21" s="23">
        <v>12</v>
      </c>
      <c r="U21" s="2" t="s">
        <v>151</v>
      </c>
      <c r="V21" s="50"/>
    </row>
    <row r="22" spans="1:22" ht="17.75" customHeight="1" x14ac:dyDescent="0.15">
      <c r="A22" s="49"/>
      <c r="D22" s="2" t="s">
        <v>174</v>
      </c>
      <c r="F22" s="57">
        <f>+(F21/G11)*100</f>
        <v>133.33333333333331</v>
      </c>
      <c r="H22" s="50"/>
      <c r="I22" s="49"/>
      <c r="J22" s="2" t="s">
        <v>26</v>
      </c>
      <c r="M22" s="118">
        <v>1</v>
      </c>
      <c r="N22" s="50"/>
      <c r="Q22" s="2" t="s">
        <v>150</v>
      </c>
      <c r="T22" s="22">
        <v>0.05</v>
      </c>
      <c r="U22" s="2" t="s">
        <v>147</v>
      </c>
      <c r="V22" s="50"/>
    </row>
    <row r="23" spans="1:22" ht="17.75" customHeight="1" x14ac:dyDescent="0.15">
      <c r="A23" s="49"/>
      <c r="D23" s="2" t="s">
        <v>24</v>
      </c>
      <c r="F23" s="14">
        <v>175</v>
      </c>
      <c r="G23" s="4" t="s">
        <v>214</v>
      </c>
      <c r="H23" s="50"/>
      <c r="I23" s="49"/>
      <c r="J23" s="2" t="s">
        <v>194</v>
      </c>
      <c r="M23" s="118">
        <v>1</v>
      </c>
      <c r="N23" s="50"/>
      <c r="Q23" s="2" t="s">
        <v>166</v>
      </c>
      <c r="T23" s="14">
        <v>1650</v>
      </c>
      <c r="U23" s="2" t="s">
        <v>149</v>
      </c>
      <c r="V23" s="50"/>
    </row>
    <row r="24" spans="1:22" ht="17.75" customHeight="1" x14ac:dyDescent="0.15">
      <c r="A24" s="49"/>
      <c r="D24" s="2" t="s">
        <v>174</v>
      </c>
      <c r="F24" s="57">
        <f>+(F23/G9)*100</f>
        <v>116.66666666666667</v>
      </c>
      <c r="H24" s="50"/>
      <c r="I24" s="1" t="s">
        <v>30</v>
      </c>
      <c r="L24" s="15"/>
      <c r="M24" s="2"/>
      <c r="N24" s="66"/>
      <c r="Q24" s="2" t="s">
        <v>167</v>
      </c>
      <c r="T24" s="23">
        <v>15</v>
      </c>
      <c r="U24" s="2" t="s">
        <v>151</v>
      </c>
      <c r="V24" s="50"/>
    </row>
    <row r="25" spans="1:22" ht="17.75" customHeight="1" x14ac:dyDescent="0.15">
      <c r="A25" s="49"/>
      <c r="D25" s="2" t="s">
        <v>20</v>
      </c>
      <c r="F25" s="14">
        <v>500</v>
      </c>
      <c r="G25" s="9" t="s">
        <v>86</v>
      </c>
      <c r="H25" s="50"/>
      <c r="J25" s="2" t="s">
        <v>31</v>
      </c>
      <c r="M25" s="14">
        <v>100</v>
      </c>
      <c r="N25" s="66"/>
      <c r="Q25" s="2" t="s">
        <v>168</v>
      </c>
      <c r="T25" s="22">
        <v>0.1</v>
      </c>
      <c r="U25" s="2" t="s">
        <v>147</v>
      </c>
      <c r="V25" s="50"/>
    </row>
    <row r="26" spans="1:22" ht="17.75" customHeight="1" x14ac:dyDescent="0.15">
      <c r="A26" s="49"/>
      <c r="D26" s="2" t="s">
        <v>17</v>
      </c>
      <c r="F26" s="14">
        <v>300</v>
      </c>
      <c r="G26" s="9" t="s">
        <v>87</v>
      </c>
      <c r="H26" s="50"/>
      <c r="J26" s="2" t="s">
        <v>159</v>
      </c>
      <c r="M26" s="14">
        <v>20</v>
      </c>
      <c r="N26" s="50"/>
      <c r="Q26" s="2" t="s">
        <v>184</v>
      </c>
      <c r="T26" s="14">
        <v>85</v>
      </c>
      <c r="U26" s="8" t="s">
        <v>84</v>
      </c>
      <c r="V26" s="50"/>
    </row>
    <row r="27" spans="1:22" ht="17.75" customHeight="1" x14ac:dyDescent="0.15">
      <c r="A27" s="49"/>
      <c r="D27" s="8" t="s">
        <v>256</v>
      </c>
      <c r="F27" s="13">
        <v>0</v>
      </c>
      <c r="H27" s="50"/>
      <c r="J27" s="2" t="s">
        <v>182</v>
      </c>
      <c r="M27" s="14">
        <v>240.27</v>
      </c>
      <c r="N27" s="50"/>
      <c r="R27" s="2" t="s">
        <v>185</v>
      </c>
      <c r="V27" s="50"/>
    </row>
    <row r="28" spans="1:22" ht="17.75" customHeight="1" thickBot="1" x14ac:dyDescent="0.2">
      <c r="A28" s="49"/>
      <c r="D28" s="8" t="s">
        <v>257</v>
      </c>
      <c r="F28" s="59">
        <v>0</v>
      </c>
      <c r="H28" s="50"/>
      <c r="J28" s="2" t="s">
        <v>183</v>
      </c>
      <c r="M28" s="14">
        <v>55.46</v>
      </c>
      <c r="N28" s="66"/>
      <c r="P28" s="1" t="s">
        <v>131</v>
      </c>
      <c r="U28" s="2"/>
      <c r="V28" s="50"/>
    </row>
    <row r="29" spans="1:22" ht="17.75" customHeight="1" thickTop="1" thickBot="1" x14ac:dyDescent="0.2">
      <c r="A29" s="49"/>
      <c r="C29" s="135" t="s">
        <v>92</v>
      </c>
      <c r="D29" s="136"/>
      <c r="E29" s="137"/>
      <c r="F29" s="152">
        <f>F27*(F14*0.5)</f>
        <v>0</v>
      </c>
      <c r="H29" s="50"/>
      <c r="J29" s="2" t="s">
        <v>38</v>
      </c>
      <c r="M29" s="14">
        <v>25</v>
      </c>
      <c r="N29" s="66"/>
      <c r="Q29" s="2" t="s">
        <v>188</v>
      </c>
      <c r="T29" s="14">
        <v>5</v>
      </c>
      <c r="U29" s="54" t="s">
        <v>132</v>
      </c>
      <c r="V29" s="50"/>
    </row>
    <row r="30" spans="1:22" ht="17.75" customHeight="1" thickTop="1" thickBot="1" x14ac:dyDescent="0.2">
      <c r="A30" s="49"/>
      <c r="C30" s="138" t="s">
        <v>91</v>
      </c>
      <c r="D30" s="139"/>
      <c r="E30" s="140"/>
      <c r="F30" s="152">
        <f>F28*(F14*0.5)</f>
        <v>0</v>
      </c>
      <c r="H30" s="50"/>
      <c r="I30" s="1" t="s">
        <v>23</v>
      </c>
      <c r="L30" s="12"/>
      <c r="M30" s="2"/>
      <c r="N30" s="50"/>
      <c r="Q30" s="2" t="s">
        <v>204</v>
      </c>
      <c r="T30" s="23">
        <v>0</v>
      </c>
      <c r="U30" s="54" t="s">
        <v>133</v>
      </c>
      <c r="V30" s="50"/>
    </row>
    <row r="31" spans="1:22" ht="17.75" customHeight="1" thickTop="1" x14ac:dyDescent="0.15">
      <c r="A31" s="49"/>
      <c r="H31" s="50"/>
      <c r="J31" s="2" t="s">
        <v>76</v>
      </c>
      <c r="M31" s="118">
        <v>8</v>
      </c>
      <c r="N31" s="50"/>
      <c r="Q31" s="2" t="s">
        <v>134</v>
      </c>
      <c r="T31" s="14">
        <v>15</v>
      </c>
      <c r="U31" s="54" t="s">
        <v>135</v>
      </c>
      <c r="V31" s="50"/>
    </row>
    <row r="32" spans="1:22" ht="17.75" customHeight="1" x14ac:dyDescent="0.15">
      <c r="A32" s="49"/>
      <c r="C32" s="1" t="s">
        <v>41</v>
      </c>
      <c r="F32" s="15"/>
      <c r="G32" s="4"/>
      <c r="H32" s="50"/>
      <c r="J32" s="2" t="s">
        <v>61</v>
      </c>
      <c r="M32" s="14">
        <v>5</v>
      </c>
      <c r="N32" s="50"/>
      <c r="V32" s="50"/>
    </row>
    <row r="33" spans="1:22" ht="17.75" customHeight="1" x14ac:dyDescent="0.15">
      <c r="A33" s="49"/>
      <c r="D33" s="2" t="s">
        <v>44</v>
      </c>
      <c r="F33" s="16">
        <v>4</v>
      </c>
      <c r="G33" s="6" t="s">
        <v>80</v>
      </c>
      <c r="H33" s="50"/>
      <c r="I33" s="7"/>
      <c r="J33" s="7" t="s">
        <v>177</v>
      </c>
      <c r="K33" s="7"/>
      <c r="L33" s="50"/>
      <c r="M33" s="120">
        <v>10</v>
      </c>
      <c r="N33" s="50"/>
      <c r="P33" s="1" t="s">
        <v>136</v>
      </c>
      <c r="U33" s="2"/>
      <c r="V33" s="50"/>
    </row>
    <row r="34" spans="1:22" ht="17.75" customHeight="1" x14ac:dyDescent="0.15">
      <c r="A34" s="49"/>
      <c r="D34" s="2" t="s">
        <v>48</v>
      </c>
      <c r="F34" s="16">
        <v>50</v>
      </c>
      <c r="G34" s="6" t="s">
        <v>93</v>
      </c>
      <c r="H34" s="50"/>
      <c r="J34" s="2" t="s">
        <v>187</v>
      </c>
      <c r="M34" s="22">
        <v>0.05</v>
      </c>
      <c r="N34" s="50"/>
      <c r="Q34" s="2" t="s">
        <v>137</v>
      </c>
      <c r="T34" s="22">
        <v>0.03</v>
      </c>
      <c r="U34" s="54" t="s">
        <v>203</v>
      </c>
      <c r="V34" s="50"/>
    </row>
    <row r="35" spans="1:22" ht="17.75" customHeight="1" x14ac:dyDescent="0.15">
      <c r="A35" s="49"/>
      <c r="D35" s="2" t="s">
        <v>176</v>
      </c>
      <c r="F35" s="14">
        <v>1.5</v>
      </c>
      <c r="G35" s="8" t="s">
        <v>88</v>
      </c>
      <c r="H35" s="50"/>
      <c r="J35" s="2" t="s">
        <v>74</v>
      </c>
      <c r="M35" s="121">
        <v>0.04</v>
      </c>
      <c r="N35" s="50"/>
      <c r="R35" s="2" t="s">
        <v>138</v>
      </c>
      <c r="V35" s="50"/>
    </row>
    <row r="36" spans="1:22" ht="17.75" customHeight="1" x14ac:dyDescent="0.15">
      <c r="A36" s="49"/>
      <c r="D36" s="2" t="s">
        <v>196</v>
      </c>
      <c r="F36" s="22">
        <v>7.0000000000000007E-2</v>
      </c>
      <c r="G36" s="8" t="s">
        <v>195</v>
      </c>
      <c r="H36" s="50"/>
      <c r="I36" s="60"/>
      <c r="J36" s="61"/>
      <c r="K36" s="62" t="s">
        <v>200</v>
      </c>
      <c r="L36" s="61"/>
      <c r="M36" s="65"/>
      <c r="N36" s="50"/>
      <c r="P36" s="1" t="s">
        <v>51</v>
      </c>
      <c r="S36" s="12"/>
      <c r="T36" s="2"/>
      <c r="U36" s="2"/>
      <c r="V36" s="50"/>
    </row>
    <row r="37" spans="1:22" ht="17.75" customHeight="1" x14ac:dyDescent="0.15">
      <c r="A37" s="60"/>
      <c r="B37" s="61"/>
      <c r="C37" s="61"/>
      <c r="D37" s="61" t="s">
        <v>197</v>
      </c>
      <c r="E37" s="61"/>
      <c r="F37" s="58">
        <v>25</v>
      </c>
      <c r="G37" s="62" t="s">
        <v>199</v>
      </c>
      <c r="H37" s="63"/>
      <c r="N37" s="48"/>
      <c r="P37" s="2" t="s">
        <v>82</v>
      </c>
      <c r="R37" s="5"/>
      <c r="S37" s="12"/>
      <c r="T37" s="2"/>
      <c r="U37" s="54"/>
      <c r="V37" s="50"/>
    </row>
    <row r="38" spans="1:22" ht="17.75" customHeight="1" x14ac:dyDescent="0.15">
      <c r="N38" s="50"/>
      <c r="Q38" s="2" t="s">
        <v>81</v>
      </c>
      <c r="T38" s="13">
        <v>0.08</v>
      </c>
      <c r="U38" s="8" t="s">
        <v>84</v>
      </c>
      <c r="V38" s="50"/>
    </row>
    <row r="39" spans="1:22" ht="17.75" customHeight="1" thickBot="1" x14ac:dyDescent="0.2">
      <c r="B39" s="126"/>
      <c r="C39" s="126"/>
      <c r="D39" s="126" t="s">
        <v>260</v>
      </c>
      <c r="E39" s="146"/>
      <c r="F39" s="147"/>
      <c r="G39" s="148"/>
      <c r="N39" s="50"/>
      <c r="Q39" s="2" t="s">
        <v>212</v>
      </c>
      <c r="T39" s="13">
        <v>0.08</v>
      </c>
      <c r="U39" s="8" t="s">
        <v>84</v>
      </c>
      <c r="V39" s="50"/>
    </row>
    <row r="40" spans="1:22" ht="17.75" customHeight="1" thickTop="1" x14ac:dyDescent="0.15">
      <c r="F40" s="141" t="s">
        <v>28</v>
      </c>
      <c r="G40" s="142" t="s">
        <v>29</v>
      </c>
      <c r="N40" s="50"/>
      <c r="O40" s="61"/>
      <c r="P40" s="61"/>
      <c r="Q40" s="61" t="s">
        <v>198</v>
      </c>
      <c r="R40" s="61"/>
      <c r="S40" s="61"/>
      <c r="T40" s="13">
        <v>0.08</v>
      </c>
      <c r="U40" s="64" t="s">
        <v>84</v>
      </c>
      <c r="V40" s="63"/>
    </row>
    <row r="41" spans="1:22" ht="17.75" customHeight="1" x14ac:dyDescent="0.15">
      <c r="C41" s="2" t="s">
        <v>258</v>
      </c>
      <c r="E41" s="7"/>
      <c r="F41" s="143">
        <f>+'YOUR Enterprise Budget'!J19</f>
        <v>11097.249999999998</v>
      </c>
      <c r="G41" s="143">
        <f>+'YOUR Enterprise Budget'!K19</f>
        <v>221.94499999999996</v>
      </c>
    </row>
    <row r="42" spans="1:22" ht="5" customHeight="1" x14ac:dyDescent="0.15">
      <c r="F42" s="144"/>
      <c r="G42" s="144"/>
    </row>
    <row r="43" spans="1:22" ht="17.75" customHeight="1" x14ac:dyDescent="0.15">
      <c r="C43" s="2" t="s">
        <v>47</v>
      </c>
      <c r="F43" s="144">
        <f>+'YOUR Enterprise Budget'!J44</f>
        <v>10641.715984</v>
      </c>
      <c r="G43" s="144">
        <f>+'YOUR Enterprise Budget'!K44</f>
        <v>212.83431967999996</v>
      </c>
    </row>
    <row r="44" spans="1:22" ht="5" customHeight="1" x14ac:dyDescent="0.15">
      <c r="F44" s="144"/>
      <c r="G44" s="144"/>
    </row>
    <row r="45" spans="1:22" ht="17.75" customHeight="1" x14ac:dyDescent="0.15">
      <c r="C45" s="2" t="s">
        <v>127</v>
      </c>
      <c r="F45" s="144">
        <f>+'YOUR Enterprise Budget'!J46</f>
        <v>455.53401599999779</v>
      </c>
      <c r="G45" s="144">
        <f>+'YOUR Enterprise Budget'!K46</f>
        <v>9.1106803200000002</v>
      </c>
    </row>
    <row r="46" spans="1:22" ht="5" customHeight="1" x14ac:dyDescent="0.15">
      <c r="F46" s="144"/>
      <c r="G46" s="144"/>
    </row>
    <row r="47" spans="1:22" ht="17.75" customHeight="1" x14ac:dyDescent="0.15">
      <c r="C47" s="2" t="s">
        <v>69</v>
      </c>
      <c r="F47" s="144">
        <f>+'YOUR Enterprise Budget'!J56</f>
        <v>4980.4084831206892</v>
      </c>
      <c r="G47" s="144">
        <f>+'YOUR Enterprise Budget'!K56</f>
        <v>99.6081696624138</v>
      </c>
    </row>
    <row r="48" spans="1:22" ht="5" customHeight="1" x14ac:dyDescent="0.15">
      <c r="F48" s="144"/>
      <c r="G48" s="144"/>
    </row>
    <row r="49" spans="3:7" ht="17.75" customHeight="1" x14ac:dyDescent="0.15">
      <c r="C49" s="2" t="s">
        <v>259</v>
      </c>
      <c r="F49" s="144">
        <f>+'YOUR Enterprise Budget'!J58</f>
        <v>-4524.8744671206914</v>
      </c>
      <c r="G49" s="144">
        <f>+'YOUR Enterprise Budget'!K58</f>
        <v>-90.4974893424138</v>
      </c>
    </row>
    <row r="50" spans="3:7" ht="17.75" customHeight="1" x14ac:dyDescent="0.15">
      <c r="F50" s="145"/>
      <c r="G50" s="144"/>
    </row>
  </sheetData>
  <sheetProtection sheet="1" objects="1" scenarios="1"/>
  <phoneticPr fontId="14" type="noConversion"/>
  <pageMargins left="0.25" right="0.5" top="0.25" bottom="0.5" header="0.5" footer="0.5"/>
  <pageSetup scale="80" orientation="landscape" blackAndWhite="1" r:id="rId1"/>
  <headerFooter alignWithMargins="0"/>
  <legacy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Sheet3">
    <tabColor indexed="11"/>
  </sheetPr>
  <dimension ref="A2:T164"/>
  <sheetViews>
    <sheetView tabSelected="1" zoomScale="82" zoomScaleNormal="82" workbookViewId="0">
      <selection activeCell="Q39" sqref="Q39"/>
    </sheetView>
  </sheetViews>
  <sheetFormatPr baseColWidth="10" defaultColWidth="9.1640625" defaultRowHeight="12" x14ac:dyDescent="0.15"/>
  <cols>
    <col min="1" max="1" width="3.6640625" style="10" customWidth="1"/>
    <col min="2" max="2" width="3.1640625" style="10" customWidth="1"/>
    <col min="3" max="3" width="2.33203125" style="10" customWidth="1"/>
    <col min="4" max="4" width="18.5" style="10" customWidth="1"/>
    <col min="5" max="5" width="8.6640625" style="10" customWidth="1"/>
    <col min="6" max="6" width="10.6640625" style="10" customWidth="1"/>
    <col min="7" max="7" width="13.5" style="10" customWidth="1"/>
    <col min="8" max="8" width="13.6640625" style="10" customWidth="1"/>
    <col min="9" max="9" width="13.5" style="10" customWidth="1"/>
    <col min="10" max="10" width="14.33203125" style="10" customWidth="1"/>
    <col min="11" max="11" width="14" style="10" customWidth="1"/>
    <col min="12" max="12" width="3.6640625" style="10" customWidth="1"/>
    <col min="13" max="13" width="14.6640625" style="10" customWidth="1"/>
    <col min="14" max="14" width="12.6640625" style="10" customWidth="1"/>
    <col min="15" max="15" width="10.33203125" style="10" customWidth="1"/>
    <col min="16" max="17" width="9.1640625" style="10"/>
    <col min="18" max="18" width="10.1640625" style="10" bestFit="1" customWidth="1"/>
    <col min="19" max="16384" width="9.1640625" style="10"/>
  </cols>
  <sheetData>
    <row r="2" spans="1:13" ht="15" customHeight="1" x14ac:dyDescent="0.2">
      <c r="B2" s="80" t="s">
        <v>208</v>
      </c>
    </row>
    <row r="3" spans="1:13" ht="15" customHeight="1" x14ac:dyDescent="0.2">
      <c r="C3" s="24" t="s">
        <v>170</v>
      </c>
    </row>
    <row r="4" spans="1:13" ht="14" x14ac:dyDescent="0.15">
      <c r="C4" s="41" t="s">
        <v>171</v>
      </c>
    </row>
    <row r="5" spans="1:13" ht="15" customHeight="1" x14ac:dyDescent="0.15"/>
    <row r="6" spans="1:13" ht="15" customHeight="1" x14ac:dyDescent="0.2">
      <c r="A6" s="94" t="s">
        <v>234</v>
      </c>
      <c r="B6" s="80" t="s">
        <v>173</v>
      </c>
      <c r="D6" s="24"/>
    </row>
    <row r="7" spans="1:13" ht="15" customHeight="1" x14ac:dyDescent="0.2">
      <c r="C7" s="24"/>
      <c r="D7" s="55" t="s">
        <v>25</v>
      </c>
      <c r="E7" s="56">
        <f>'INPUT SHEET'!F8</f>
        <v>50</v>
      </c>
      <c r="H7" s="55" t="s">
        <v>243</v>
      </c>
      <c r="J7" s="56">
        <f>'INPUT SHEET'!G9</f>
        <v>150</v>
      </c>
    </row>
    <row r="8" spans="1:13" ht="15" customHeight="1" x14ac:dyDescent="0.2">
      <c r="C8" s="24"/>
      <c r="D8" s="55" t="s">
        <v>22</v>
      </c>
      <c r="E8" s="56">
        <f>'INPUT SHEET'!F10</f>
        <v>2</v>
      </c>
      <c r="H8" s="55" t="s">
        <v>242</v>
      </c>
      <c r="J8" s="56">
        <f>'INPUT SHEET'!G11</f>
        <v>225</v>
      </c>
    </row>
    <row r="9" spans="1:13" ht="15" customHeight="1" x14ac:dyDescent="0.2">
      <c r="D9" s="55" t="s">
        <v>189</v>
      </c>
      <c r="E9" s="56">
        <f>'INPUT SHEET'!F15</f>
        <v>64.49499999999999</v>
      </c>
      <c r="H9" s="55" t="s">
        <v>241</v>
      </c>
      <c r="J9" s="56">
        <f>'INPUT SHEET'!G12</f>
        <v>70</v>
      </c>
    </row>
    <row r="10" spans="1:13" ht="15" customHeight="1" x14ac:dyDescent="0.15"/>
    <row r="11" spans="1:13" ht="15.75" customHeight="1" x14ac:dyDescent="0.2">
      <c r="A11" s="94" t="s">
        <v>235</v>
      </c>
      <c r="B11" s="80" t="s">
        <v>126</v>
      </c>
      <c r="C11" s="81"/>
      <c r="D11" s="24"/>
      <c r="E11" s="24"/>
      <c r="F11" s="24"/>
      <c r="G11" s="24"/>
      <c r="H11" s="24"/>
      <c r="I11" s="24"/>
      <c r="J11" s="24"/>
      <c r="K11" s="24"/>
      <c r="L11" s="19"/>
    </row>
    <row r="12" spans="1:13" ht="18" x14ac:dyDescent="0.2">
      <c r="A12" s="24"/>
      <c r="B12" s="24"/>
      <c r="F12" s="24"/>
      <c r="G12" s="105" t="s">
        <v>2</v>
      </c>
      <c r="H12" s="106" t="s">
        <v>3</v>
      </c>
      <c r="I12" s="106" t="s">
        <v>27</v>
      </c>
      <c r="J12" s="106" t="s">
        <v>28</v>
      </c>
      <c r="K12" s="107" t="s">
        <v>29</v>
      </c>
      <c r="M12" s="116" t="s">
        <v>209</v>
      </c>
    </row>
    <row r="13" spans="1:13" ht="16" x14ac:dyDescent="0.2">
      <c r="A13" s="24"/>
      <c r="B13" s="24"/>
      <c r="C13" s="24" t="s">
        <v>98</v>
      </c>
      <c r="D13" s="24"/>
      <c r="E13" s="24"/>
      <c r="F13" s="24"/>
      <c r="G13" s="31" t="s">
        <v>18</v>
      </c>
      <c r="H13" s="155">
        <f>'INPUT SHEET'!F15</f>
        <v>64.49499999999999</v>
      </c>
      <c r="I13" s="56">
        <f>'INPUT SHEET'!F19</f>
        <v>150</v>
      </c>
      <c r="J13" s="155">
        <f>H13*I13</f>
        <v>9674.2499999999982</v>
      </c>
      <c r="K13" s="155">
        <f>J13/'INPUT SHEET'!$F$8</f>
        <v>193.48499999999996</v>
      </c>
      <c r="M13" s="68"/>
    </row>
    <row r="14" spans="1:13" ht="16" x14ac:dyDescent="0.2">
      <c r="A14" s="24"/>
      <c r="B14" s="24"/>
      <c r="C14" s="24" t="s">
        <v>181</v>
      </c>
      <c r="D14" s="24"/>
      <c r="E14" s="24"/>
      <c r="F14" s="24"/>
      <c r="G14" s="31" t="s">
        <v>18</v>
      </c>
      <c r="H14" s="155">
        <f>'INPUT SHEET'!F29</f>
        <v>0</v>
      </c>
      <c r="I14" s="56">
        <f>'INPUT SHEET'!F25</f>
        <v>500</v>
      </c>
      <c r="J14" s="155">
        <f>H14*I14</f>
        <v>0</v>
      </c>
      <c r="K14" s="155">
        <f>J14/'INPUT SHEET'!$F$8</f>
        <v>0</v>
      </c>
      <c r="M14" s="68"/>
    </row>
    <row r="15" spans="1:13" ht="16" x14ac:dyDescent="0.2">
      <c r="A15" s="24"/>
      <c r="B15" s="24"/>
      <c r="C15" s="24" t="s">
        <v>160</v>
      </c>
      <c r="D15" s="24"/>
      <c r="E15" s="24"/>
      <c r="F15" s="24"/>
      <c r="G15" s="31" t="s">
        <v>18</v>
      </c>
      <c r="H15" s="155">
        <f>'INPUT SHEET'!F30</f>
        <v>0</v>
      </c>
      <c r="I15" s="56">
        <f>'INPUT SHEET'!F26</f>
        <v>300</v>
      </c>
      <c r="J15" s="155">
        <f>H15*I15</f>
        <v>0</v>
      </c>
      <c r="K15" s="155">
        <f>J15/'INPUT SHEET'!$F$8</f>
        <v>0</v>
      </c>
      <c r="M15" s="68"/>
    </row>
    <row r="16" spans="1:13" ht="16" x14ac:dyDescent="0.2">
      <c r="A16" s="24"/>
      <c r="B16" s="24"/>
      <c r="C16" s="24" t="s">
        <v>33</v>
      </c>
      <c r="D16" s="24"/>
      <c r="E16" s="24"/>
      <c r="F16" s="24"/>
      <c r="G16" s="31" t="s">
        <v>18</v>
      </c>
      <c r="H16" s="156">
        <f>'INPUT SHEET'!M7*'INPUT SHEET'!F10</f>
        <v>0.66</v>
      </c>
      <c r="I16" s="56">
        <f>'INPUT SHEET'!F21</f>
        <v>300</v>
      </c>
      <c r="J16" s="155">
        <f>H16*I16</f>
        <v>198</v>
      </c>
      <c r="K16" s="155">
        <f>J16/'INPUT SHEET'!$F$8</f>
        <v>3.96</v>
      </c>
      <c r="M16" s="68"/>
    </row>
    <row r="17" spans="1:13" ht="17" thickBot="1" x14ac:dyDescent="0.25">
      <c r="A17" s="24"/>
      <c r="B17" s="24"/>
      <c r="C17" s="24" t="s">
        <v>35</v>
      </c>
      <c r="D17" s="24"/>
      <c r="E17" s="24"/>
      <c r="F17" s="24"/>
      <c r="G17" s="31" t="s">
        <v>18</v>
      </c>
      <c r="H17" s="156">
        <f>'INPUT SHEET'!M8*'INPUT SHEET'!F8</f>
        <v>7.0000000000000009</v>
      </c>
      <c r="I17" s="56">
        <f>'INPUT SHEET'!F23</f>
        <v>175</v>
      </c>
      <c r="J17" s="157">
        <f>H17*I17</f>
        <v>1225.0000000000002</v>
      </c>
      <c r="K17" s="157">
        <f>J17/'INPUT SHEET'!$F$8</f>
        <v>24.500000000000004</v>
      </c>
      <c r="M17" s="69"/>
    </row>
    <row r="18" spans="1:13" ht="17" thickTop="1" x14ac:dyDescent="0.2">
      <c r="A18" s="24"/>
      <c r="B18" s="24"/>
      <c r="C18" s="24"/>
      <c r="D18" s="24"/>
      <c r="E18" s="24"/>
      <c r="F18" s="24"/>
      <c r="G18" s="24"/>
      <c r="H18" s="156"/>
      <c r="I18" s="56"/>
      <c r="J18" s="155"/>
      <c r="K18" s="155"/>
    </row>
    <row r="19" spans="1:13" ht="16" x14ac:dyDescent="0.2">
      <c r="A19" s="24"/>
      <c r="B19" s="24"/>
      <c r="C19" s="26" t="s">
        <v>39</v>
      </c>
      <c r="D19" s="26"/>
      <c r="E19" s="26"/>
      <c r="F19" s="26"/>
      <c r="G19" s="26"/>
      <c r="H19" s="158"/>
      <c r="I19" s="158"/>
      <c r="J19" s="158">
        <f>SUM(J13:J17)</f>
        <v>11097.249999999998</v>
      </c>
      <c r="K19" s="158">
        <f>SUM(K13:K17)</f>
        <v>221.94499999999996</v>
      </c>
      <c r="L19" s="11"/>
      <c r="M19" s="68"/>
    </row>
    <row r="20" spans="1:13" ht="16" x14ac:dyDescent="0.2">
      <c r="A20" s="26"/>
      <c r="B20" s="26"/>
      <c r="C20" s="24"/>
      <c r="D20" s="24"/>
      <c r="E20" s="24"/>
      <c r="F20" s="24"/>
      <c r="L20" s="19"/>
    </row>
    <row r="21" spans="1:13" ht="18" x14ac:dyDescent="0.2">
      <c r="A21" s="94" t="s">
        <v>236</v>
      </c>
      <c r="B21" s="80" t="s">
        <v>47</v>
      </c>
      <c r="C21" s="24"/>
      <c r="E21" s="24"/>
      <c r="F21" s="24"/>
      <c r="G21" s="31"/>
      <c r="H21" s="31"/>
      <c r="I21" s="31"/>
      <c r="J21" s="31"/>
      <c r="K21" s="31"/>
      <c r="L21" s="19"/>
    </row>
    <row r="22" spans="1:13" ht="18" x14ac:dyDescent="0.2">
      <c r="A22" s="24"/>
      <c r="B22" s="26" t="s">
        <v>128</v>
      </c>
      <c r="C22" s="24"/>
      <c r="E22" s="24"/>
      <c r="F22" s="24"/>
      <c r="G22" s="105" t="s">
        <v>2</v>
      </c>
      <c r="H22" s="106" t="s">
        <v>3</v>
      </c>
      <c r="I22" s="106" t="s">
        <v>27</v>
      </c>
      <c r="J22" s="106" t="s">
        <v>28</v>
      </c>
      <c r="K22" s="107" t="s">
        <v>29</v>
      </c>
      <c r="L22" s="19"/>
    </row>
    <row r="23" spans="1:13" ht="16" x14ac:dyDescent="0.2">
      <c r="A23" s="24"/>
      <c r="B23" s="24"/>
      <c r="C23" s="24" t="s">
        <v>49</v>
      </c>
      <c r="D23" s="24"/>
      <c r="E23" s="24"/>
      <c r="F23" s="24"/>
      <c r="G23" s="31" t="s">
        <v>130</v>
      </c>
      <c r="H23" s="32">
        <f>'INPUT SHEET'!M19*30*'INPUT SHEET'!M20*'INPUT SHEET'!F8</f>
        <v>27000</v>
      </c>
      <c r="I23" s="33">
        <f>'INPUT SHEET'!M25/2000</f>
        <v>0.05</v>
      </c>
      <c r="J23" s="159">
        <f t="shared" ref="J23:J36" si="0">H23*I23</f>
        <v>1350</v>
      </c>
      <c r="K23" s="159">
        <f>J23/'INPUT SHEET'!$F$8</f>
        <v>27</v>
      </c>
      <c r="M23" s="68"/>
    </row>
    <row r="24" spans="1:13" ht="16" x14ac:dyDescent="0.2">
      <c r="A24" s="24"/>
      <c r="B24" s="24"/>
      <c r="C24" s="24" t="s">
        <v>161</v>
      </c>
      <c r="D24" s="24"/>
      <c r="E24" s="24"/>
      <c r="F24" s="24"/>
      <c r="G24" s="31" t="s">
        <v>130</v>
      </c>
      <c r="H24" s="32">
        <f>'INPUT SHEET'!M21*30*'INPUT SHEET'!M22*'INPUT SHEET'!F8</f>
        <v>7500</v>
      </c>
      <c r="I24" s="34">
        <f>'INPUT SHEET'!M26/100</f>
        <v>0.2</v>
      </c>
      <c r="J24" s="159">
        <f t="shared" si="0"/>
        <v>1500</v>
      </c>
      <c r="K24" s="159">
        <f>J24/'INPUT SHEET'!$F$8</f>
        <v>30</v>
      </c>
      <c r="M24" s="68"/>
    </row>
    <row r="25" spans="1:13" ht="16" x14ac:dyDescent="0.2">
      <c r="A25" s="24"/>
      <c r="B25" s="24"/>
      <c r="C25" s="24" t="s">
        <v>53</v>
      </c>
      <c r="D25" s="24"/>
      <c r="E25" s="24"/>
      <c r="F25" s="24"/>
      <c r="G25" s="31" t="s">
        <v>157</v>
      </c>
      <c r="H25" s="71">
        <f>'INPUT SHEET'!M18</f>
        <v>25</v>
      </c>
      <c r="I25" s="33">
        <f>'INPUT SHEET'!M27</f>
        <v>240.27</v>
      </c>
      <c r="J25" s="159">
        <f t="shared" si="0"/>
        <v>6006.75</v>
      </c>
      <c r="K25" s="159">
        <f>J25/'INPUT SHEET'!$F$8</f>
        <v>120.13500000000001</v>
      </c>
      <c r="M25" s="68"/>
    </row>
    <row r="26" spans="1:13" ht="16" x14ac:dyDescent="0.2">
      <c r="A26" s="24"/>
      <c r="B26" s="24"/>
      <c r="C26" s="24" t="s">
        <v>56</v>
      </c>
      <c r="D26" s="24"/>
      <c r="E26" s="24"/>
      <c r="F26" s="24"/>
      <c r="G26" s="31" t="s">
        <v>130</v>
      </c>
      <c r="H26" s="32">
        <f>(('INPUT SHEET'!M23*'INPUT SHEET'!F8)*365)/16</f>
        <v>1140.625</v>
      </c>
      <c r="I26" s="34">
        <f>'INPUT SHEET'!M29/100</f>
        <v>0.25</v>
      </c>
      <c r="J26" s="160">
        <f t="shared" si="0"/>
        <v>285.15625</v>
      </c>
      <c r="K26" s="159">
        <f>J26/'INPUT SHEET'!$F$8</f>
        <v>5.703125</v>
      </c>
      <c r="M26" s="68"/>
    </row>
    <row r="27" spans="1:13" ht="16" x14ac:dyDescent="0.2">
      <c r="A27" s="24"/>
      <c r="B27" s="26" t="s">
        <v>158</v>
      </c>
      <c r="D27" s="24"/>
      <c r="E27" s="24"/>
      <c r="F27" s="24"/>
      <c r="G27" s="31"/>
      <c r="H27" s="35"/>
      <c r="I27" s="36"/>
      <c r="J27" s="160"/>
      <c r="K27" s="159"/>
    </row>
    <row r="28" spans="1:13" ht="16" x14ac:dyDescent="0.2">
      <c r="A28" s="24"/>
      <c r="B28" s="24"/>
      <c r="C28" s="24" t="s">
        <v>58</v>
      </c>
      <c r="D28" s="24"/>
      <c r="E28" s="24"/>
      <c r="F28" s="24"/>
      <c r="G28" s="31" t="s">
        <v>59</v>
      </c>
      <c r="H28" s="38">
        <f>('INPUT SHEET'!F8+'INPUT SHEET'!F10)*'INPUT SHEET'!T8</f>
        <v>208</v>
      </c>
      <c r="I28" s="28">
        <f>'INPUT SHEET'!T7</f>
        <v>0.85</v>
      </c>
      <c r="J28" s="159">
        <f t="shared" si="0"/>
        <v>176.79999999999998</v>
      </c>
      <c r="K28" s="159">
        <f>J28/'INPUT SHEET'!$F$8</f>
        <v>3.5359999999999996</v>
      </c>
      <c r="M28" s="68"/>
    </row>
    <row r="29" spans="1:13" ht="16" x14ac:dyDescent="0.2">
      <c r="A29" s="24"/>
      <c r="B29" s="24"/>
      <c r="C29" s="24" t="s">
        <v>162</v>
      </c>
      <c r="D29" s="24"/>
      <c r="E29" s="24"/>
      <c r="F29" s="24"/>
      <c r="G29" s="31" t="s">
        <v>59</v>
      </c>
      <c r="H29" s="38">
        <f>('INPUT SHEET'!F8+'INPUT SHEET'!F10)*'INPUT SHEET'!T10</f>
        <v>52</v>
      </c>
      <c r="I29" s="29">
        <f>'INPUT SHEET'!T9</f>
        <v>0.65</v>
      </c>
      <c r="J29" s="159">
        <f t="shared" si="0"/>
        <v>33.800000000000004</v>
      </c>
      <c r="K29" s="159">
        <f>J29/'INPUT SHEET'!$F$8</f>
        <v>0.67600000000000005</v>
      </c>
      <c r="M29" s="68"/>
    </row>
    <row r="30" spans="1:13" ht="16" x14ac:dyDescent="0.2">
      <c r="A30" s="24"/>
      <c r="B30" s="24"/>
      <c r="C30" s="24" t="s">
        <v>178</v>
      </c>
      <c r="D30" s="24"/>
      <c r="E30" s="24"/>
      <c r="F30" s="24"/>
      <c r="G30" s="31" t="s">
        <v>59</v>
      </c>
      <c r="H30" s="38">
        <f>'INPUT SHEET'!F14*'INPUT SHEET'!T12</f>
        <v>145.35</v>
      </c>
      <c r="I30" s="29">
        <f>'INPUT SHEET'!T11</f>
        <v>0.65</v>
      </c>
      <c r="J30" s="159">
        <f>H30*I30</f>
        <v>94.477500000000006</v>
      </c>
      <c r="K30" s="159">
        <f>J30/'INPUT SHEET'!$F$8</f>
        <v>1.8895500000000001</v>
      </c>
      <c r="M30" s="68"/>
    </row>
    <row r="31" spans="1:13" ht="16" x14ac:dyDescent="0.2">
      <c r="A31" s="24"/>
      <c r="B31" s="24"/>
      <c r="C31" s="24" t="s">
        <v>63</v>
      </c>
      <c r="D31" s="24"/>
      <c r="E31" s="24"/>
      <c r="F31" s="24"/>
      <c r="G31" s="31" t="s">
        <v>64</v>
      </c>
      <c r="H31" s="38">
        <v>1</v>
      </c>
      <c r="I31" s="28">
        <f>'INPUT SHEET'!T13</f>
        <v>30</v>
      </c>
      <c r="J31" s="160">
        <f t="shared" si="0"/>
        <v>30</v>
      </c>
      <c r="K31" s="159">
        <f>J31/'INPUT SHEET'!$F$8</f>
        <v>0.6</v>
      </c>
      <c r="M31" s="68"/>
    </row>
    <row r="32" spans="1:13" ht="16" x14ac:dyDescent="0.2">
      <c r="A32" s="24"/>
      <c r="B32" s="26" t="s">
        <v>129</v>
      </c>
      <c r="D32" s="24"/>
      <c r="E32" s="24"/>
      <c r="F32" s="24"/>
      <c r="G32" s="24"/>
      <c r="H32" s="38"/>
      <c r="I32" s="28"/>
      <c r="J32" s="160"/>
      <c r="K32" s="159"/>
    </row>
    <row r="33" spans="1:13" ht="16" x14ac:dyDescent="0.2">
      <c r="A33" s="24"/>
      <c r="B33" s="24"/>
      <c r="C33" s="24" t="s">
        <v>223</v>
      </c>
      <c r="D33" s="24"/>
      <c r="E33" s="24"/>
      <c r="F33" s="24"/>
      <c r="G33" s="31" t="s">
        <v>139</v>
      </c>
      <c r="H33" s="28">
        <f>'INPUT SHEET'!T30</f>
        <v>0</v>
      </c>
      <c r="I33" s="28">
        <f>'INPUT SHEET'!T31</f>
        <v>15</v>
      </c>
      <c r="J33" s="160">
        <f>H33*I33</f>
        <v>0</v>
      </c>
      <c r="K33" s="159">
        <f>J33/'INPUT SHEET'!$F$8</f>
        <v>0</v>
      </c>
      <c r="M33" s="68"/>
    </row>
    <row r="34" spans="1:13" ht="16" x14ac:dyDescent="0.2">
      <c r="A34" s="24"/>
      <c r="B34" s="24"/>
      <c r="C34" s="24" t="s">
        <v>207</v>
      </c>
      <c r="D34" s="24"/>
      <c r="E34" s="24"/>
      <c r="F34" s="24"/>
      <c r="G34" s="31" t="s">
        <v>18</v>
      </c>
      <c r="H34" s="38">
        <f>'INPUT SHEET'!F15+('INPUT SHEET'!M8*'INPUT SHEET'!F8)+('INPUT SHEET'!M7*'INPUT SHEET'!F10)</f>
        <v>72.154999999999987</v>
      </c>
      <c r="I34" s="28">
        <f>'INPUT SHEET'!F36</f>
        <v>7.0000000000000007E-2</v>
      </c>
      <c r="J34" s="160">
        <f t="shared" si="0"/>
        <v>5.0508499999999996</v>
      </c>
      <c r="K34" s="159">
        <f>J34/'INPUT SHEET'!$F$8</f>
        <v>0.101017</v>
      </c>
      <c r="M34" s="68"/>
    </row>
    <row r="35" spans="1:13" ht="16" x14ac:dyDescent="0.2">
      <c r="A35" s="24"/>
      <c r="B35" s="24"/>
      <c r="C35" s="24" t="s">
        <v>190</v>
      </c>
      <c r="D35" s="24"/>
      <c r="E35" s="24"/>
      <c r="F35" s="24"/>
      <c r="G35" s="31" t="s">
        <v>191</v>
      </c>
      <c r="H35" s="38"/>
      <c r="I35" s="28">
        <f>'INPUT SHEET'!F37</f>
        <v>25</v>
      </c>
      <c r="J35" s="160">
        <f>+I35</f>
        <v>25</v>
      </c>
      <c r="K35" s="159">
        <f>J35/'INPUT SHEET'!$F$8</f>
        <v>0.5</v>
      </c>
      <c r="M35" s="68"/>
    </row>
    <row r="36" spans="1:13" ht="16" x14ac:dyDescent="0.2">
      <c r="A36" s="24"/>
      <c r="B36" s="24"/>
      <c r="C36" s="24" t="s">
        <v>201</v>
      </c>
      <c r="D36" s="24"/>
      <c r="E36" s="24"/>
      <c r="F36" s="24"/>
      <c r="G36" s="31" t="s">
        <v>64</v>
      </c>
      <c r="H36" s="38">
        <v>1</v>
      </c>
      <c r="I36" s="28">
        <f>'INPUT SHEET'!T16+'INPUT SHEET'!T17</f>
        <v>155</v>
      </c>
      <c r="J36" s="160">
        <f t="shared" si="0"/>
        <v>155</v>
      </c>
      <c r="K36" s="159">
        <f>J36/'INPUT SHEET'!$F$8</f>
        <v>3.1</v>
      </c>
      <c r="M36" s="68"/>
    </row>
    <row r="37" spans="1:13" ht="16" x14ac:dyDescent="0.2">
      <c r="A37" s="24"/>
      <c r="B37" s="24"/>
      <c r="C37" s="24" t="s">
        <v>67</v>
      </c>
      <c r="D37" s="24"/>
      <c r="E37" s="24"/>
      <c r="F37" s="24"/>
      <c r="G37" s="31" t="s">
        <v>224</v>
      </c>
      <c r="H37" s="38">
        <f>+SUM(J23:J36)/2</f>
        <v>4831.0172999999995</v>
      </c>
      <c r="I37" s="28">
        <f>'INPUT SHEET'!T40</f>
        <v>0.08</v>
      </c>
      <c r="J37" s="160">
        <f>(SUM(J23:J36)/2)*'INPUT SHEET'!T40</f>
        <v>386.48138399999999</v>
      </c>
      <c r="K37" s="159">
        <f>J37/'INPUT SHEET'!$F$8</f>
        <v>7.7296276800000001</v>
      </c>
      <c r="M37" s="68"/>
    </row>
    <row r="38" spans="1:13" ht="16" x14ac:dyDescent="0.2">
      <c r="A38" s="24"/>
      <c r="B38" s="24"/>
      <c r="C38" s="24" t="s">
        <v>65</v>
      </c>
      <c r="D38" s="24"/>
      <c r="E38" s="24"/>
      <c r="F38" s="24"/>
      <c r="G38" s="31" t="s">
        <v>99</v>
      </c>
      <c r="H38" s="38">
        <f>'INPUT SHEET'!F34*'INPUT SHEET'!F33</f>
        <v>200</v>
      </c>
      <c r="I38" s="28">
        <f>'INPUT SHEET'!F35</f>
        <v>1.5</v>
      </c>
      <c r="J38" s="160">
        <f>H38*I38</f>
        <v>300</v>
      </c>
      <c r="K38" s="159">
        <f>J38/'INPUT SHEET'!$F$8</f>
        <v>6</v>
      </c>
      <c r="M38" s="68"/>
    </row>
    <row r="39" spans="1:13" ht="16" x14ac:dyDescent="0.2">
      <c r="A39" s="24"/>
      <c r="B39" s="24"/>
      <c r="C39" s="24" t="s">
        <v>186</v>
      </c>
      <c r="D39" s="24"/>
      <c r="E39" s="24"/>
      <c r="F39" s="24"/>
      <c r="G39" s="31" t="s">
        <v>224</v>
      </c>
      <c r="H39" s="33"/>
      <c r="I39" s="28">
        <f>(('INPUT SHEET'!F8+'INPUT SHEET'!F10)*'INPUT SHEET'!M31*'INPUT SHEET'!M32)*'INPUT SHEET'!M35</f>
        <v>83.2</v>
      </c>
      <c r="J39" s="159">
        <f>+I39</f>
        <v>83.2</v>
      </c>
      <c r="K39" s="159">
        <f>J39/'INPUT SHEET'!F8</f>
        <v>1.6640000000000001</v>
      </c>
      <c r="M39" s="68"/>
    </row>
    <row r="40" spans="1:13" ht="16" x14ac:dyDescent="0.2">
      <c r="A40" s="24"/>
      <c r="B40" s="24"/>
      <c r="C40" s="24" t="s">
        <v>222</v>
      </c>
      <c r="D40" s="24"/>
      <c r="E40" s="24"/>
      <c r="F40" s="24"/>
      <c r="G40" s="31" t="s">
        <v>224</v>
      </c>
      <c r="H40" s="33"/>
      <c r="I40" s="33">
        <f>'INPUT SHEET'!T26</f>
        <v>85</v>
      </c>
      <c r="J40" s="159">
        <f>+I40</f>
        <v>85</v>
      </c>
      <c r="K40" s="159">
        <f>J40/'INPUT SHEET'!F8</f>
        <v>1.7</v>
      </c>
      <c r="M40" s="68"/>
    </row>
    <row r="41" spans="1:13" ht="16" x14ac:dyDescent="0.2">
      <c r="A41" s="24"/>
      <c r="B41" s="24"/>
      <c r="C41" s="24"/>
      <c r="D41" s="24" t="s">
        <v>221</v>
      </c>
      <c r="E41" s="24"/>
      <c r="F41" s="24"/>
      <c r="G41" s="31"/>
      <c r="H41" s="33"/>
      <c r="I41" s="33"/>
      <c r="J41" s="159"/>
      <c r="K41" s="159"/>
    </row>
    <row r="42" spans="1:13" ht="17" thickBot="1" x14ac:dyDescent="0.25">
      <c r="A42" s="24"/>
      <c r="B42" s="24"/>
      <c r="C42" s="24" t="s">
        <v>188</v>
      </c>
      <c r="D42" s="24"/>
      <c r="E42" s="24"/>
      <c r="F42" s="24"/>
      <c r="G42" s="31" t="s">
        <v>54</v>
      </c>
      <c r="H42" s="71">
        <f>'INPUT SHEET'!M18</f>
        <v>25</v>
      </c>
      <c r="I42" s="28">
        <f>+'INPUT SHEET'!T29</f>
        <v>5</v>
      </c>
      <c r="J42" s="160">
        <f>H42*I42</f>
        <v>125</v>
      </c>
      <c r="K42" s="159">
        <f>J42/'INPUT SHEET'!F8</f>
        <v>2.5</v>
      </c>
    </row>
    <row r="43" spans="1:13" ht="17" thickTop="1" x14ac:dyDescent="0.2">
      <c r="A43" s="24"/>
      <c r="B43" s="24"/>
      <c r="C43" s="24"/>
      <c r="D43" s="24"/>
      <c r="E43" s="24"/>
      <c r="F43" s="24"/>
      <c r="G43" s="24"/>
      <c r="H43" s="35"/>
      <c r="I43" s="28"/>
      <c r="J43" s="161"/>
      <c r="K43" s="161"/>
      <c r="M43" s="70"/>
    </row>
    <row r="44" spans="1:13" ht="16" x14ac:dyDescent="0.2">
      <c r="A44" s="24"/>
      <c r="B44" s="26" t="s">
        <v>68</v>
      </c>
      <c r="D44" s="26"/>
      <c r="E44" s="26"/>
      <c r="F44" s="26"/>
      <c r="G44" s="26"/>
      <c r="H44" s="26"/>
      <c r="I44" s="30"/>
      <c r="J44" s="162">
        <f>SUM(J23:J42)</f>
        <v>10641.715984</v>
      </c>
      <c r="K44" s="162">
        <f>SUM(K23:K42)</f>
        <v>212.83431967999996</v>
      </c>
      <c r="L44" s="11"/>
      <c r="M44" s="68"/>
    </row>
    <row r="45" spans="1:13" ht="16" x14ac:dyDescent="0.2">
      <c r="A45" s="24"/>
      <c r="B45" s="24"/>
      <c r="C45" s="26"/>
      <c r="D45" s="26"/>
      <c r="E45" s="26"/>
      <c r="F45" s="26"/>
      <c r="G45" s="26"/>
      <c r="H45" s="26"/>
      <c r="I45" s="30"/>
      <c r="J45" s="162"/>
      <c r="K45" s="162"/>
      <c r="L45" s="11"/>
      <c r="M45" s="11"/>
    </row>
    <row r="46" spans="1:13" ht="18" x14ac:dyDescent="0.2">
      <c r="A46" s="94" t="s">
        <v>237</v>
      </c>
      <c r="B46" s="80" t="s">
        <v>127</v>
      </c>
      <c r="D46" s="26"/>
      <c r="E46" s="26"/>
      <c r="F46" s="26"/>
      <c r="G46" s="26"/>
      <c r="H46" s="26"/>
      <c r="I46" s="30"/>
      <c r="J46" s="162">
        <f>+J19-J44</f>
        <v>455.53401599999779</v>
      </c>
      <c r="K46" s="162">
        <f>+K19-K44</f>
        <v>9.1106803200000002</v>
      </c>
      <c r="L46" s="11"/>
      <c r="M46" s="11"/>
    </row>
    <row r="47" spans="1:13" ht="16" x14ac:dyDescent="0.2">
      <c r="A47" s="24"/>
      <c r="B47" s="24"/>
      <c r="D47" s="24"/>
      <c r="E47" s="24"/>
      <c r="F47" s="24"/>
      <c r="G47" s="24"/>
      <c r="H47" s="24"/>
      <c r="I47" s="24"/>
      <c r="J47" s="24"/>
      <c r="K47" s="24"/>
      <c r="L47" s="19"/>
      <c r="M47" s="21"/>
    </row>
    <row r="48" spans="1:13" ht="18" x14ac:dyDescent="0.2">
      <c r="A48" s="94" t="s">
        <v>238</v>
      </c>
      <c r="B48" s="80" t="s">
        <v>69</v>
      </c>
      <c r="D48" s="24"/>
      <c r="E48" s="24"/>
      <c r="F48" s="24"/>
      <c r="G48" s="105" t="s">
        <v>2</v>
      </c>
      <c r="H48" s="106" t="s">
        <v>3</v>
      </c>
      <c r="I48" s="106" t="s">
        <v>27</v>
      </c>
      <c r="J48" s="106" t="s">
        <v>28</v>
      </c>
      <c r="K48" s="107" t="s">
        <v>29</v>
      </c>
    </row>
    <row r="49" spans="1:13" ht="16" x14ac:dyDescent="0.2">
      <c r="A49" s="24"/>
      <c r="B49" s="24"/>
      <c r="C49" s="24" t="s">
        <v>70</v>
      </c>
      <c r="D49" s="24"/>
      <c r="E49" s="24"/>
      <c r="F49" s="24"/>
      <c r="G49" s="31" t="s">
        <v>224</v>
      </c>
      <c r="H49" s="33"/>
      <c r="I49" s="159">
        <f>SUM($K$74:$K$75)</f>
        <v>1007.0000000000001</v>
      </c>
      <c r="J49" s="159">
        <f>+I49</f>
        <v>1007.0000000000001</v>
      </c>
      <c r="K49" s="159">
        <f>J49/'INPUT SHEET'!F8</f>
        <v>20.14</v>
      </c>
      <c r="M49" s="68"/>
    </row>
    <row r="50" spans="1:13" ht="16" x14ac:dyDescent="0.2">
      <c r="A50" s="24"/>
      <c r="B50" s="24"/>
      <c r="C50" s="24" t="s">
        <v>71</v>
      </c>
      <c r="D50" s="24"/>
      <c r="E50" s="24"/>
      <c r="F50" s="24"/>
      <c r="G50" s="31" t="s">
        <v>224</v>
      </c>
      <c r="H50" s="33"/>
      <c r="I50" s="159">
        <f>SUM($K$78:$K$80)</f>
        <v>1020.9639699488098</v>
      </c>
      <c r="J50" s="159">
        <f>+I50</f>
        <v>1020.9639699488098</v>
      </c>
      <c r="K50" s="159">
        <f>J50/'INPUT SHEET'!F8</f>
        <v>20.419279398976197</v>
      </c>
      <c r="M50" s="68"/>
    </row>
    <row r="51" spans="1:13" ht="16" x14ac:dyDescent="0.2">
      <c r="A51" s="24"/>
      <c r="B51" s="24"/>
      <c r="C51" s="24" t="s">
        <v>72</v>
      </c>
      <c r="D51" s="24"/>
      <c r="E51" s="24"/>
      <c r="F51" s="24"/>
      <c r="G51" s="31" t="s">
        <v>224</v>
      </c>
      <c r="H51" s="33"/>
      <c r="I51" s="159">
        <f>SUM($T$73:$T$74)</f>
        <v>640</v>
      </c>
      <c r="J51" s="159">
        <f>+I51</f>
        <v>640</v>
      </c>
      <c r="K51" s="159">
        <f>J51/'INPUT SHEET'!F8</f>
        <v>12.8</v>
      </c>
      <c r="M51" s="68"/>
    </row>
    <row r="52" spans="1:13" ht="16" x14ac:dyDescent="0.2">
      <c r="A52" s="24"/>
      <c r="B52" s="24"/>
      <c r="C52" s="24" t="s">
        <v>73</v>
      </c>
      <c r="D52" s="24"/>
      <c r="E52" s="24"/>
      <c r="F52" s="24"/>
      <c r="G52" s="31" t="s">
        <v>224</v>
      </c>
      <c r="H52" s="33"/>
      <c r="I52" s="159">
        <f>SUM($T$77:$T$79)</f>
        <v>606.69303365187989</v>
      </c>
      <c r="J52" s="159">
        <f>+I52</f>
        <v>606.69303365187989</v>
      </c>
      <c r="K52" s="159">
        <f>J52/'INPUT SHEET'!F8</f>
        <v>12.133860673037598</v>
      </c>
      <c r="M52" s="68"/>
    </row>
    <row r="53" spans="1:13" ht="16" x14ac:dyDescent="0.2">
      <c r="A53" s="24"/>
      <c r="B53" s="24"/>
      <c r="C53" s="24" t="s">
        <v>202</v>
      </c>
      <c r="D53" s="24"/>
      <c r="E53" s="24"/>
      <c r="F53" s="24"/>
      <c r="G53" s="31" t="s">
        <v>54</v>
      </c>
      <c r="H53" s="71">
        <f>'INPUT SHEET'!M18</f>
        <v>25</v>
      </c>
      <c r="I53" s="159">
        <f>'INPUT SHEET'!M28</f>
        <v>55.46</v>
      </c>
      <c r="J53" s="159">
        <f>H53*I53</f>
        <v>1386.5</v>
      </c>
      <c r="K53" s="159">
        <f>J53/'INPUT SHEET'!$F$8</f>
        <v>27.73</v>
      </c>
      <c r="M53" s="68"/>
    </row>
    <row r="54" spans="1:13" ht="17" thickBot="1" x14ac:dyDescent="0.25">
      <c r="A54" s="24"/>
      <c r="B54" s="24"/>
      <c r="C54" s="24" t="s">
        <v>136</v>
      </c>
      <c r="D54" s="24"/>
      <c r="E54" s="24"/>
      <c r="F54" s="24"/>
      <c r="G54" s="31" t="s">
        <v>224</v>
      </c>
      <c r="H54" s="33">
        <f>+J44</f>
        <v>10641.715984</v>
      </c>
      <c r="I54" s="33">
        <f>'INPUT SHEET'!T34</f>
        <v>0.03</v>
      </c>
      <c r="J54" s="159">
        <f>H54*I54</f>
        <v>319.25147951999998</v>
      </c>
      <c r="K54" s="159">
        <f>J54/'INPUT SHEET'!F8</f>
        <v>6.3850295903999994</v>
      </c>
      <c r="M54" s="11"/>
    </row>
    <row r="55" spans="1:13" ht="17" thickTop="1" x14ac:dyDescent="0.2">
      <c r="A55" s="24"/>
      <c r="B55" s="24"/>
      <c r="C55" s="24"/>
      <c r="D55" s="24"/>
      <c r="E55" s="24"/>
      <c r="F55" s="24"/>
      <c r="G55" s="24"/>
      <c r="H55" s="33"/>
      <c r="I55" s="33"/>
      <c r="J55" s="161"/>
      <c r="K55" s="161"/>
      <c r="M55" s="70"/>
    </row>
    <row r="56" spans="1:13" ht="16" x14ac:dyDescent="0.2">
      <c r="A56" s="24"/>
      <c r="B56" s="26" t="s">
        <v>75</v>
      </c>
      <c r="D56" s="24"/>
      <c r="E56" s="24"/>
      <c r="F56" s="24"/>
      <c r="G56" s="24"/>
      <c r="H56" s="29"/>
      <c r="I56" s="29"/>
      <c r="J56" s="162">
        <f>SUM(J49:J54)</f>
        <v>4980.4084831206892</v>
      </c>
      <c r="K56" s="162">
        <f>SUM(K49:K54)</f>
        <v>99.6081696624138</v>
      </c>
      <c r="L56" s="11"/>
      <c r="M56" s="68"/>
    </row>
    <row r="57" spans="1:13" ht="16" x14ac:dyDescent="0.2">
      <c r="A57" s="24"/>
      <c r="B57" s="24"/>
      <c r="C57" s="24"/>
      <c r="D57" s="24"/>
      <c r="E57" s="24"/>
      <c r="F57" s="24"/>
      <c r="G57" s="24"/>
      <c r="H57" s="24"/>
      <c r="I57" s="24"/>
      <c r="J57" s="159"/>
      <c r="K57" s="159"/>
    </row>
    <row r="58" spans="1:13" ht="18" x14ac:dyDescent="0.2">
      <c r="A58" s="94" t="s">
        <v>239</v>
      </c>
      <c r="B58" s="80" t="s">
        <v>140</v>
      </c>
      <c r="C58" s="26"/>
      <c r="D58" s="26"/>
      <c r="E58" s="26"/>
      <c r="F58" s="26"/>
      <c r="G58" s="26"/>
      <c r="H58" s="26"/>
      <c r="I58" s="26"/>
      <c r="J58" s="162">
        <f>J19-J44-J56</f>
        <v>-4524.8744671206914</v>
      </c>
      <c r="K58" s="162">
        <f>K19-K44-K56</f>
        <v>-90.4974893424138</v>
      </c>
      <c r="M58" s="68"/>
    </row>
    <row r="59" spans="1:13" ht="16" x14ac:dyDescent="0.2">
      <c r="A59" s="24"/>
      <c r="B59" s="24"/>
      <c r="C59" s="24"/>
      <c r="D59" s="24"/>
      <c r="E59" s="24"/>
      <c r="F59" s="24"/>
      <c r="G59" s="24"/>
      <c r="H59" s="24"/>
      <c r="I59" s="24"/>
      <c r="J59" s="24"/>
      <c r="K59" s="24"/>
    </row>
    <row r="60" spans="1:13" ht="16" x14ac:dyDescent="0.2">
      <c r="A60" s="24"/>
      <c r="B60" s="24"/>
      <c r="C60" s="24"/>
      <c r="D60" s="24"/>
      <c r="E60" s="24"/>
      <c r="F60" s="24"/>
      <c r="G60" s="24"/>
      <c r="H60" s="24"/>
      <c r="I60" s="24"/>
      <c r="J60" s="24"/>
      <c r="K60" s="24"/>
    </row>
    <row r="61" spans="1:13" ht="16" x14ac:dyDescent="0.2">
      <c r="A61" s="24"/>
      <c r="B61" s="24"/>
      <c r="C61" s="24"/>
      <c r="K61" s="24"/>
    </row>
    <row r="62" spans="1:13" ht="16" x14ac:dyDescent="0.2">
      <c r="A62" s="24"/>
      <c r="B62" s="24"/>
      <c r="C62" s="24"/>
      <c r="K62" s="24"/>
    </row>
    <row r="63" spans="1:13" ht="15" customHeight="1" x14ac:dyDescent="0.2">
      <c r="A63" s="24"/>
      <c r="B63" s="24"/>
      <c r="C63" s="24"/>
      <c r="D63" s="24"/>
      <c r="E63" s="24"/>
      <c r="F63" s="24"/>
      <c r="G63" s="24"/>
      <c r="H63" s="24"/>
      <c r="I63" s="24"/>
      <c r="J63" s="24"/>
      <c r="K63" s="24"/>
    </row>
    <row r="64" spans="1:13" ht="16" x14ac:dyDescent="0.2">
      <c r="A64" s="24"/>
      <c r="B64" s="24"/>
      <c r="C64" s="24"/>
      <c r="D64" s="24"/>
      <c r="E64" s="24"/>
      <c r="F64" s="24"/>
      <c r="G64" s="24"/>
      <c r="H64" s="24"/>
      <c r="I64" s="24"/>
      <c r="J64" s="24"/>
      <c r="K64" s="24"/>
    </row>
    <row r="65" spans="1:20" ht="18" x14ac:dyDescent="0.2">
      <c r="A65" s="24"/>
      <c r="B65" s="24"/>
      <c r="C65" s="80" t="str">
        <f>+B2</f>
        <v>Alabama Meat Goat Enterprise Budget</v>
      </c>
      <c r="D65" s="24"/>
      <c r="E65" s="24"/>
      <c r="F65" s="24"/>
      <c r="G65" s="24"/>
      <c r="H65" s="24"/>
      <c r="I65" s="24"/>
      <c r="J65" s="24"/>
      <c r="K65" s="24"/>
    </row>
    <row r="66" spans="1:20" ht="16" x14ac:dyDescent="0.2">
      <c r="A66" s="24"/>
      <c r="B66" s="24"/>
      <c r="C66" s="24"/>
      <c r="D66" s="24"/>
      <c r="E66" s="24"/>
      <c r="F66" s="24"/>
      <c r="G66" s="24"/>
      <c r="H66" s="24"/>
      <c r="I66" s="24"/>
      <c r="J66" s="24"/>
      <c r="K66" s="24"/>
    </row>
    <row r="67" spans="1:20" ht="16" x14ac:dyDescent="0.2">
      <c r="A67" s="24"/>
      <c r="B67" s="24"/>
      <c r="C67" s="24"/>
      <c r="D67" s="24"/>
      <c r="E67" s="24"/>
      <c r="F67" s="24"/>
      <c r="G67" s="24"/>
      <c r="H67" s="24"/>
      <c r="I67" s="24"/>
      <c r="J67" s="24"/>
      <c r="K67" s="24"/>
    </row>
    <row r="68" spans="1:20" ht="16" x14ac:dyDescent="0.2">
      <c r="A68" s="24"/>
      <c r="B68" s="24"/>
      <c r="C68" s="24"/>
      <c r="D68" s="24"/>
      <c r="E68" s="24"/>
      <c r="F68" s="24"/>
      <c r="G68" s="24"/>
      <c r="H68" s="24"/>
      <c r="I68" s="24"/>
      <c r="J68" s="24"/>
      <c r="K68" s="24"/>
    </row>
    <row r="69" spans="1:20" ht="18" x14ac:dyDescent="0.2">
      <c r="A69" s="94" t="s">
        <v>240</v>
      </c>
      <c r="B69" s="80" t="s">
        <v>0</v>
      </c>
      <c r="C69" s="81"/>
      <c r="D69" s="24"/>
      <c r="E69" s="24"/>
      <c r="F69" s="24"/>
      <c r="G69" s="24"/>
      <c r="H69" s="24"/>
      <c r="I69" s="24"/>
      <c r="J69" s="24"/>
      <c r="K69" s="24"/>
      <c r="R69" s="18" t="s">
        <v>8</v>
      </c>
      <c r="S69" s="18" t="s">
        <v>9</v>
      </c>
      <c r="T69" s="18" t="s">
        <v>10</v>
      </c>
    </row>
    <row r="70" spans="1:20" x14ac:dyDescent="0.15">
      <c r="R70" s="18" t="s">
        <v>13</v>
      </c>
      <c r="S70" s="18" t="s">
        <v>14</v>
      </c>
      <c r="T70" s="18" t="s">
        <v>15</v>
      </c>
    </row>
    <row r="71" spans="1:20" ht="18" x14ac:dyDescent="0.2">
      <c r="A71" s="24"/>
      <c r="B71" s="24"/>
      <c r="C71" s="108"/>
      <c r="D71" s="109"/>
      <c r="E71" s="110" t="s">
        <v>2</v>
      </c>
      <c r="F71" s="110" t="s">
        <v>3</v>
      </c>
      <c r="G71" s="110" t="s">
        <v>4</v>
      </c>
      <c r="H71" s="110" t="s">
        <v>5</v>
      </c>
      <c r="I71" s="110" t="s">
        <v>6</v>
      </c>
      <c r="J71" s="110" t="s">
        <v>220</v>
      </c>
      <c r="K71" s="111" t="s">
        <v>7</v>
      </c>
      <c r="R71" s="18"/>
      <c r="S71" s="18"/>
      <c r="T71" s="18"/>
    </row>
    <row r="72" spans="1:20" ht="18" x14ac:dyDescent="0.2">
      <c r="A72" s="24"/>
      <c r="B72" s="24"/>
      <c r="C72" s="112" t="s">
        <v>1</v>
      </c>
      <c r="D72" s="113"/>
      <c r="E72" s="114"/>
      <c r="F72" s="114"/>
      <c r="G72" s="114"/>
      <c r="H72" s="114"/>
      <c r="I72" s="114" t="s">
        <v>11</v>
      </c>
      <c r="J72" s="114" t="s">
        <v>211</v>
      </c>
      <c r="K72" s="115" t="s">
        <v>12</v>
      </c>
    </row>
    <row r="73" spans="1:20" ht="16" x14ac:dyDescent="0.2">
      <c r="B73" s="24" t="s">
        <v>210</v>
      </c>
      <c r="C73" s="26"/>
      <c r="D73" s="26"/>
      <c r="E73" s="25"/>
      <c r="F73" s="26"/>
      <c r="G73" s="25"/>
      <c r="H73" s="25"/>
      <c r="R73" s="11">
        <f>(H74-I74)*0.5</f>
        <v>3125</v>
      </c>
      <c r="S73" s="20">
        <f>'INPUT SHEET'!T38</f>
        <v>0.08</v>
      </c>
      <c r="T73" s="11">
        <f>S73*(H74/2)</f>
        <v>600</v>
      </c>
    </row>
    <row r="74" spans="1:20" ht="16" x14ac:dyDescent="0.2">
      <c r="A74" s="24"/>
      <c r="B74" s="24"/>
      <c r="C74" s="24" t="s">
        <v>17</v>
      </c>
      <c r="D74" s="24"/>
      <c r="E74" s="24" t="s">
        <v>18</v>
      </c>
      <c r="F74" s="31">
        <f>'INPUT SHEET'!F8</f>
        <v>50</v>
      </c>
      <c r="G74" s="36">
        <f>'INPUT SHEET'!F26</f>
        <v>300</v>
      </c>
      <c r="H74" s="37">
        <f>F74*G74</f>
        <v>15000</v>
      </c>
      <c r="I74" s="36">
        <f>'INPUT SHEET'!F23*F74</f>
        <v>8750</v>
      </c>
      <c r="J74" s="82">
        <f>1/'INPUT SHEET'!M8</f>
        <v>7.1428571428571423</v>
      </c>
      <c r="K74" s="36">
        <f>(H74-I74)/J74</f>
        <v>875.00000000000011</v>
      </c>
      <c r="R74" s="11">
        <f>(H75-I75)*0.5</f>
        <v>200</v>
      </c>
      <c r="S74" s="20">
        <f>'INPUT SHEET'!T38</f>
        <v>0.08</v>
      </c>
      <c r="T74" s="11">
        <f>S74*(H75/2)</f>
        <v>40</v>
      </c>
    </row>
    <row r="75" spans="1:20" ht="16" x14ac:dyDescent="0.2">
      <c r="A75" s="24"/>
      <c r="B75" s="24"/>
      <c r="C75" s="24" t="s">
        <v>20</v>
      </c>
      <c r="D75" s="24"/>
      <c r="E75" s="24" t="s">
        <v>18</v>
      </c>
      <c r="F75" s="31">
        <f>'INPUT SHEET'!F10</f>
        <v>2</v>
      </c>
      <c r="G75" s="36">
        <f>'INPUT SHEET'!F25</f>
        <v>500</v>
      </c>
      <c r="H75" s="37">
        <f>F75*G75</f>
        <v>1000</v>
      </c>
      <c r="I75" s="36">
        <f>'INPUT SHEET'!F21*F75</f>
        <v>600</v>
      </c>
      <c r="J75" s="82">
        <f>1/'INPUT SHEET'!M7</f>
        <v>3.0303030303030303</v>
      </c>
      <c r="K75" s="36">
        <f>(H75-I75)/J75</f>
        <v>132</v>
      </c>
      <c r="R75" s="11"/>
      <c r="S75" s="20"/>
      <c r="T75" s="11"/>
    </row>
    <row r="76" spans="1:20" ht="16" x14ac:dyDescent="0.2">
      <c r="A76" s="24"/>
      <c r="B76" s="24"/>
      <c r="C76" s="24"/>
      <c r="D76" s="24"/>
      <c r="E76" s="24"/>
      <c r="F76" s="31"/>
      <c r="G76" s="36"/>
      <c r="H76" s="37"/>
      <c r="I76" s="36"/>
      <c r="J76" s="82"/>
      <c r="K76" s="36"/>
      <c r="R76" s="11"/>
      <c r="S76" s="20"/>
      <c r="T76" s="11"/>
    </row>
    <row r="77" spans="1:20" ht="16" x14ac:dyDescent="0.2">
      <c r="B77" s="24" t="s">
        <v>213</v>
      </c>
      <c r="C77" s="24"/>
      <c r="D77" s="24"/>
      <c r="E77" s="24"/>
      <c r="F77" s="31"/>
      <c r="G77" s="36"/>
      <c r="H77" s="37"/>
      <c r="I77" s="36"/>
      <c r="J77" s="82"/>
      <c r="K77" s="36"/>
      <c r="R77" s="11">
        <f>(H78-I78)*0.5</f>
        <v>988</v>
      </c>
      <c r="S77" s="20">
        <f>'INPUT SHEET'!T39</f>
        <v>0.08</v>
      </c>
      <c r="T77" s="11">
        <f>S77*(H78/2)</f>
        <v>83.2</v>
      </c>
    </row>
    <row r="78" spans="1:20" ht="16" x14ac:dyDescent="0.2">
      <c r="A78" s="24"/>
      <c r="B78" s="24"/>
      <c r="C78" s="24" t="s">
        <v>23</v>
      </c>
      <c r="D78" s="24"/>
      <c r="E78" s="24" t="s">
        <v>77</v>
      </c>
      <c r="F78" s="31">
        <f>'INPUT SHEET'!M31*SUM('INPUT SHEET'!F8:F10)</f>
        <v>416</v>
      </c>
      <c r="G78" s="36">
        <f>'INPUT SHEET'!M32</f>
        <v>5</v>
      </c>
      <c r="H78" s="37">
        <f>F78*G78</f>
        <v>2080</v>
      </c>
      <c r="I78" s="104">
        <f>+H78*'INPUT SHEET'!M34</f>
        <v>104</v>
      </c>
      <c r="J78" s="82">
        <f>'INPUT SHEET'!M33</f>
        <v>10</v>
      </c>
      <c r="K78" s="36">
        <f>(H78-I78)/J78</f>
        <v>197.6</v>
      </c>
      <c r="R78" s="11">
        <f>(H79-I79)*0.5</f>
        <v>5432.729774616073</v>
      </c>
      <c r="S78" s="20">
        <f>'INPUT SHEET'!T40</f>
        <v>0.08</v>
      </c>
      <c r="T78" s="11">
        <f>S78*(H79/2)</f>
        <v>457.49303365187984</v>
      </c>
    </row>
    <row r="79" spans="1:20" ht="16" x14ac:dyDescent="0.2">
      <c r="A79" s="24"/>
      <c r="B79" s="24"/>
      <c r="C79" s="24" t="s">
        <v>141</v>
      </c>
      <c r="D79" s="24"/>
      <c r="E79" s="24" t="s">
        <v>142</v>
      </c>
      <c r="F79" s="39">
        <f>'YOUR Enterprise Budget'!J152</f>
        <v>4174.2065114222605</v>
      </c>
      <c r="G79" s="36">
        <f>'INPUT SHEET'!T20</f>
        <v>2.74</v>
      </c>
      <c r="H79" s="37">
        <f>F79*G79</f>
        <v>11437.325841296995</v>
      </c>
      <c r="I79" s="103">
        <f>'INPUT SHEET'!T22*H79</f>
        <v>571.86629206484974</v>
      </c>
      <c r="J79" s="82">
        <f>'INPUT SHEET'!T24</f>
        <v>15</v>
      </c>
      <c r="K79" s="36">
        <f>(H79-I79)/J79</f>
        <v>724.36396994880977</v>
      </c>
      <c r="R79" s="11">
        <f>(H80-I80)*0.5</f>
        <v>742.5</v>
      </c>
      <c r="S79" s="20">
        <f>'INPUT SHEET'!T39</f>
        <v>0.08</v>
      </c>
      <c r="T79" s="11">
        <f>S79*(H80/2)</f>
        <v>66</v>
      </c>
    </row>
    <row r="80" spans="1:20" ht="16" x14ac:dyDescent="0.2">
      <c r="A80" s="24"/>
      <c r="B80" s="24"/>
      <c r="C80" s="24" t="s">
        <v>169</v>
      </c>
      <c r="D80" s="24"/>
      <c r="E80" s="24" t="s">
        <v>143</v>
      </c>
      <c r="F80" s="31">
        <v>1</v>
      </c>
      <c r="G80" s="36">
        <f>'INPUT SHEET'!T23</f>
        <v>1650</v>
      </c>
      <c r="H80" s="37">
        <f>F80*G80</f>
        <v>1650</v>
      </c>
      <c r="I80" s="103">
        <f>'INPUT SHEET'!T25*H80</f>
        <v>165</v>
      </c>
      <c r="J80" s="82">
        <f>'INPUT SHEET'!T24</f>
        <v>15</v>
      </c>
      <c r="K80" s="36">
        <f>(H80-I80)/J80</f>
        <v>99</v>
      </c>
      <c r="R80" s="11"/>
      <c r="S80" s="20"/>
      <c r="T80" s="11"/>
    </row>
    <row r="81" spans="1:20" ht="17" thickBot="1" x14ac:dyDescent="0.25">
      <c r="A81" s="85"/>
      <c r="B81" s="85"/>
      <c r="C81" s="85"/>
      <c r="D81" s="85"/>
      <c r="E81" s="85"/>
      <c r="F81" s="86"/>
      <c r="G81" s="87"/>
      <c r="H81" s="88"/>
      <c r="I81" s="89"/>
      <c r="J81" s="90"/>
      <c r="K81" s="87"/>
      <c r="R81" s="11"/>
      <c r="S81" s="20"/>
      <c r="T81" s="11"/>
    </row>
    <row r="82" spans="1:20" ht="17" thickTop="1" x14ac:dyDescent="0.2">
      <c r="A82" s="24"/>
      <c r="B82" s="24"/>
      <c r="C82" s="24"/>
      <c r="D82" s="24"/>
      <c r="E82" s="24"/>
      <c r="F82" s="31"/>
      <c r="G82" s="36"/>
      <c r="H82" s="37"/>
      <c r="I82" s="40"/>
      <c r="J82" s="27"/>
      <c r="K82" s="36"/>
      <c r="R82" s="11"/>
      <c r="S82" s="20"/>
      <c r="T82" s="11"/>
    </row>
    <row r="83" spans="1:20" x14ac:dyDescent="0.15">
      <c r="R83" s="11"/>
      <c r="S83" s="20"/>
      <c r="T83" s="11"/>
    </row>
    <row r="84" spans="1:20" x14ac:dyDescent="0.15">
      <c r="R84" s="11"/>
      <c r="S84" s="20"/>
      <c r="T84" s="11"/>
    </row>
    <row r="85" spans="1:20" ht="18" x14ac:dyDescent="0.2">
      <c r="A85" s="24"/>
      <c r="B85" s="80" t="s">
        <v>232</v>
      </c>
      <c r="C85" s="24"/>
      <c r="D85" s="24"/>
      <c r="F85" s="31"/>
      <c r="G85" s="36"/>
      <c r="H85" s="37"/>
      <c r="I85" s="40"/>
      <c r="J85" s="27"/>
      <c r="K85" s="36"/>
      <c r="R85" s="11"/>
      <c r="S85" s="20"/>
      <c r="T85" s="11"/>
    </row>
    <row r="86" spans="1:20" ht="16" x14ac:dyDescent="0.2">
      <c r="A86" s="24"/>
      <c r="B86" s="24"/>
      <c r="C86" s="24"/>
      <c r="D86" s="24"/>
      <c r="E86" s="24"/>
      <c r="F86" s="31"/>
      <c r="G86" s="36"/>
      <c r="H86" s="37"/>
      <c r="I86" s="40"/>
      <c r="J86" s="27"/>
      <c r="K86" s="36"/>
      <c r="R86" s="11"/>
      <c r="S86" s="20"/>
      <c r="T86" s="11"/>
    </row>
    <row r="87" spans="1:20" ht="16" x14ac:dyDescent="0.2">
      <c r="A87" s="24"/>
      <c r="C87" s="24"/>
      <c r="E87" s="24"/>
      <c r="F87" s="31"/>
      <c r="H87" s="96" t="s">
        <v>244</v>
      </c>
      <c r="I87" s="97"/>
      <c r="J87" s="83"/>
      <c r="R87" s="11"/>
      <c r="S87" s="20"/>
      <c r="T87" s="11"/>
    </row>
    <row r="88" spans="1:20" ht="16" x14ac:dyDescent="0.2">
      <c r="B88" s="24" t="s">
        <v>47</v>
      </c>
      <c r="C88" s="24"/>
      <c r="D88" s="24"/>
      <c r="E88" s="24"/>
      <c r="F88" s="24"/>
      <c r="G88" s="37"/>
      <c r="H88" s="98" t="s">
        <v>229</v>
      </c>
      <c r="I88" s="99" t="s">
        <v>231</v>
      </c>
      <c r="J88" s="100" t="s">
        <v>230</v>
      </c>
      <c r="R88" s="11"/>
      <c r="S88" s="20"/>
      <c r="T88" s="11"/>
    </row>
    <row r="89" spans="1:20" ht="16" x14ac:dyDescent="0.2">
      <c r="B89" s="24"/>
      <c r="C89" s="24" t="s">
        <v>225</v>
      </c>
      <c r="D89" s="24"/>
      <c r="F89" s="24"/>
      <c r="G89" s="37"/>
      <c r="H89" s="95" t="s">
        <v>250</v>
      </c>
      <c r="I89" s="101" t="s">
        <v>250</v>
      </c>
      <c r="J89" s="102" t="s">
        <v>250</v>
      </c>
      <c r="R89" s="11"/>
      <c r="S89" s="20"/>
      <c r="T89" s="11"/>
    </row>
    <row r="90" spans="1:20" ht="16" x14ac:dyDescent="0.2">
      <c r="B90" s="24"/>
      <c r="C90" s="24"/>
      <c r="D90" s="24" t="s">
        <v>49</v>
      </c>
      <c r="F90" s="24"/>
      <c r="G90" s="37"/>
      <c r="H90" s="78">
        <f>+(J23/$J$44)</f>
        <v>0.1268592398096085</v>
      </c>
      <c r="I90" s="91" t="e">
        <v>#N/A</v>
      </c>
      <c r="J90" s="78">
        <f>+(J23/($J$44+$J$56))</f>
        <v>8.6415903473390912E-2</v>
      </c>
      <c r="R90" s="11"/>
      <c r="S90" s="20"/>
      <c r="T90" s="11"/>
    </row>
    <row r="91" spans="1:20" ht="15" customHeight="1" x14ac:dyDescent="0.2">
      <c r="B91" s="24"/>
      <c r="C91" s="24"/>
      <c r="D91" s="24" t="s">
        <v>226</v>
      </c>
      <c r="F91" s="24"/>
      <c r="G91" s="37"/>
      <c r="H91" s="78">
        <f>+(J24/$J$44)</f>
        <v>0.14095471089956502</v>
      </c>
      <c r="I91" s="91" t="e">
        <v>#N/A</v>
      </c>
      <c r="J91" s="78">
        <f>+(J24/($J$44+$J$56))</f>
        <v>9.6017670525989904E-2</v>
      </c>
      <c r="R91" s="11"/>
      <c r="S91" s="20"/>
      <c r="T91" s="11"/>
    </row>
    <row r="92" spans="1:20" ht="16" x14ac:dyDescent="0.2">
      <c r="B92" s="24"/>
      <c r="C92" s="24"/>
      <c r="D92" s="24" t="s">
        <v>53</v>
      </c>
      <c r="F92" s="24"/>
      <c r="G92" s="37"/>
      <c r="H92" s="78">
        <f>+(J25/$J$44)</f>
        <v>0.56445313979730805</v>
      </c>
      <c r="I92" s="91" t="e">
        <v>#N/A</v>
      </c>
      <c r="J92" s="78">
        <f>+(J25/($J$44+$J$56))</f>
        <v>0.38450276162132657</v>
      </c>
      <c r="R92" s="11"/>
      <c r="S92" s="20"/>
      <c r="T92" s="11"/>
    </row>
    <row r="93" spans="1:20" ht="16" x14ac:dyDescent="0.2">
      <c r="B93" s="24"/>
      <c r="C93" s="24"/>
      <c r="D93" s="24" t="s">
        <v>227</v>
      </c>
      <c r="F93" s="24"/>
      <c r="G93" s="37"/>
      <c r="H93" s="84">
        <f>+(J26/$J$44)</f>
        <v>2.6796077853302722E-2</v>
      </c>
      <c r="I93" s="91" t="e">
        <v>#N/A</v>
      </c>
      <c r="J93" s="84">
        <f>+(J26/($J$44+$J$56))</f>
        <v>1.8253359240617873E-2</v>
      </c>
      <c r="R93" s="11"/>
      <c r="S93" s="20"/>
      <c r="T93" s="11"/>
    </row>
    <row r="94" spans="1:20" ht="16" x14ac:dyDescent="0.2">
      <c r="G94" s="24" t="s">
        <v>233</v>
      </c>
      <c r="H94" s="79">
        <f>+SUM(H90:H93)</f>
        <v>0.85906316835978425</v>
      </c>
      <c r="I94" s="92"/>
      <c r="J94" s="79">
        <f>+SUM(J90:J93)</f>
        <v>0.58518969486132522</v>
      </c>
      <c r="R94" s="11"/>
      <c r="S94" s="20"/>
      <c r="T94" s="11"/>
    </row>
    <row r="95" spans="1:20" ht="16" x14ac:dyDescent="0.2">
      <c r="B95" s="24"/>
      <c r="C95" s="24"/>
      <c r="D95" s="24"/>
      <c r="E95" s="24"/>
      <c r="F95" s="24"/>
      <c r="G95" s="37"/>
      <c r="H95" s="78"/>
      <c r="I95" s="91"/>
      <c r="J95" s="78"/>
      <c r="R95" s="11"/>
      <c r="S95" s="20"/>
      <c r="T95" s="11"/>
    </row>
    <row r="96" spans="1:20" ht="16" x14ac:dyDescent="0.2">
      <c r="B96" s="24"/>
      <c r="C96" s="24" t="s">
        <v>228</v>
      </c>
      <c r="D96" s="24"/>
      <c r="E96" s="24"/>
      <c r="F96" s="24"/>
      <c r="G96" s="37"/>
      <c r="H96" s="78">
        <f>+(SUM(J28:J31)/$J$44)</f>
        <v>3.1487168094299328E-2</v>
      </c>
      <c r="I96" s="91" t="e">
        <v>#N/A</v>
      </c>
      <c r="J96" s="78">
        <f>+(SUM(J28:J31)/($J$44+$J$56))</f>
        <v>2.1448907330448255E-2</v>
      </c>
      <c r="R96" s="11"/>
      <c r="S96" s="20"/>
      <c r="T96" s="11"/>
    </row>
    <row r="97" spans="1:20" ht="16" x14ac:dyDescent="0.2">
      <c r="B97" s="24"/>
      <c r="C97" s="24"/>
      <c r="D97" s="24"/>
      <c r="E97" s="24"/>
      <c r="F97" s="24"/>
      <c r="G97" s="37"/>
      <c r="H97" s="78"/>
      <c r="I97" s="91"/>
      <c r="J97" s="78"/>
      <c r="R97" s="11"/>
      <c r="S97" s="20"/>
      <c r="T97" s="11"/>
    </row>
    <row r="98" spans="1:20" ht="16" x14ac:dyDescent="0.2">
      <c r="B98" s="24"/>
      <c r="C98" s="24" t="s">
        <v>129</v>
      </c>
      <c r="D98" s="24"/>
      <c r="E98" s="24"/>
      <c r="F98" s="24"/>
      <c r="G98" s="37"/>
      <c r="H98" s="78">
        <f>+(SUM(J33:J42)/$J$44)</f>
        <v>0.10944966354591634</v>
      </c>
      <c r="I98" s="91" t="e">
        <v>#N/A</v>
      </c>
      <c r="J98" s="78">
        <f>+(SUM(J33:J42)/($J$44+$J$56))</f>
        <v>7.455658393014146E-2</v>
      </c>
      <c r="R98" s="11"/>
      <c r="S98" s="20"/>
      <c r="T98" s="11"/>
    </row>
    <row r="99" spans="1:20" ht="16" x14ac:dyDescent="0.2">
      <c r="B99" s="24"/>
      <c r="C99" s="24"/>
      <c r="D99" s="24"/>
      <c r="E99" s="24"/>
      <c r="F99" s="24"/>
      <c r="G99" s="37"/>
      <c r="H99" s="78"/>
      <c r="I99" s="79"/>
      <c r="J99" s="78"/>
      <c r="R99" s="11"/>
      <c r="S99" s="20"/>
      <c r="T99" s="11"/>
    </row>
    <row r="100" spans="1:20" x14ac:dyDescent="0.15">
      <c r="R100" s="11"/>
      <c r="S100" s="20"/>
      <c r="T100" s="11"/>
    </row>
    <row r="101" spans="1:20" ht="16" x14ac:dyDescent="0.2">
      <c r="B101" s="24" t="s">
        <v>69</v>
      </c>
      <c r="C101" s="24"/>
      <c r="D101" s="24"/>
      <c r="E101" s="24"/>
      <c r="F101" s="24"/>
      <c r="G101" s="37"/>
      <c r="H101" s="78"/>
      <c r="I101" s="79"/>
      <c r="J101" s="78"/>
      <c r="R101" s="11"/>
      <c r="S101" s="20"/>
      <c r="T101" s="11"/>
    </row>
    <row r="102" spans="1:20" ht="16" x14ac:dyDescent="0.2">
      <c r="B102" s="24"/>
      <c r="C102" s="24"/>
      <c r="D102" s="24" t="s">
        <v>70</v>
      </c>
      <c r="F102" s="24"/>
      <c r="G102" s="37"/>
      <c r="H102" s="91" t="e">
        <v>#N/A</v>
      </c>
      <c r="I102" s="78">
        <f t="shared" ref="I102:I107" si="1">+(J49/$J$56)</f>
        <v>0.20219225057801302</v>
      </c>
      <c r="J102" s="78">
        <f t="shared" ref="J102:J107" si="2">+(J49/($J$44+$J$56))</f>
        <v>6.4459862813114568E-2</v>
      </c>
      <c r="R102" s="11"/>
      <c r="S102" s="20"/>
      <c r="T102" s="11"/>
    </row>
    <row r="103" spans="1:20" ht="16" x14ac:dyDescent="0.2">
      <c r="B103" s="24"/>
      <c r="C103" s="24"/>
      <c r="D103" s="24" t="s">
        <v>71</v>
      </c>
      <c r="F103" s="24"/>
      <c r="G103" s="37"/>
      <c r="H103" s="91" t="e">
        <v>#N/A</v>
      </c>
      <c r="I103" s="78">
        <f t="shared" si="1"/>
        <v>0.20499603062861238</v>
      </c>
      <c r="J103" s="78">
        <f t="shared" si="2"/>
        <v>6.5353721390300989E-2</v>
      </c>
      <c r="R103" s="11"/>
      <c r="S103" s="20"/>
      <c r="T103" s="11"/>
    </row>
    <row r="104" spans="1:20" ht="16" x14ac:dyDescent="0.2">
      <c r="B104" s="24"/>
      <c r="C104" s="24"/>
      <c r="D104" s="24" t="s">
        <v>72</v>
      </c>
      <c r="F104" s="24"/>
      <c r="G104" s="37"/>
      <c r="H104" s="91" t="e">
        <v>#N/A</v>
      </c>
      <c r="I104" s="78">
        <f t="shared" si="1"/>
        <v>0.12850351575961105</v>
      </c>
      <c r="J104" s="78">
        <f t="shared" si="2"/>
        <v>4.0967539424422363E-2</v>
      </c>
      <c r="M104" s="77"/>
      <c r="R104" s="11"/>
      <c r="S104" s="20"/>
      <c r="T104" s="11"/>
    </row>
    <row r="105" spans="1:20" ht="16" x14ac:dyDescent="0.2">
      <c r="B105" s="24"/>
      <c r="C105" s="24"/>
      <c r="D105" s="24" t="s">
        <v>73</v>
      </c>
      <c r="F105" s="24"/>
      <c r="G105" s="37"/>
      <c r="H105" s="91" t="e">
        <v>#N/A</v>
      </c>
      <c r="I105" s="78">
        <f t="shared" si="1"/>
        <v>0.12181591845489152</v>
      </c>
      <c r="J105" s="78">
        <f t="shared" si="2"/>
        <v>3.8835501210399671E-2</v>
      </c>
      <c r="R105" s="11"/>
      <c r="S105" s="20"/>
      <c r="T105" s="11"/>
    </row>
    <row r="106" spans="1:20" ht="16" x14ac:dyDescent="0.2">
      <c r="B106" s="24"/>
      <c r="C106" s="24"/>
      <c r="D106" s="24" t="s">
        <v>202</v>
      </c>
      <c r="F106" s="24"/>
      <c r="G106" s="37"/>
      <c r="H106" s="91" t="e">
        <v>#N/A</v>
      </c>
      <c r="I106" s="78">
        <f t="shared" si="1"/>
        <v>0.27839081968859486</v>
      </c>
      <c r="J106" s="78">
        <f t="shared" si="2"/>
        <v>8.8752333456190005E-2</v>
      </c>
      <c r="R106" s="11"/>
      <c r="S106" s="20"/>
      <c r="T106" s="11"/>
    </row>
    <row r="107" spans="1:20" ht="16" x14ac:dyDescent="0.2">
      <c r="A107" s="24"/>
      <c r="B107" s="24"/>
      <c r="C107" s="24"/>
      <c r="D107" s="24" t="s">
        <v>136</v>
      </c>
      <c r="F107" s="24"/>
      <c r="G107" s="37"/>
      <c r="H107" s="91" t="e">
        <v>#N/A</v>
      </c>
      <c r="I107" s="78">
        <f t="shared" si="1"/>
        <v>6.4101464890277279E-2</v>
      </c>
      <c r="J107" s="78">
        <f t="shared" si="2"/>
        <v>2.0435855583657448E-2</v>
      </c>
      <c r="K107" s="36"/>
      <c r="R107" s="11"/>
      <c r="S107" s="20"/>
      <c r="T107" s="11"/>
    </row>
    <row r="108" spans="1:20" ht="16" x14ac:dyDescent="0.2">
      <c r="A108" s="24"/>
      <c r="B108" s="24"/>
      <c r="C108" s="24"/>
      <c r="D108" s="24"/>
      <c r="E108" s="24"/>
      <c r="F108" s="31"/>
      <c r="G108" s="36"/>
      <c r="H108" s="37"/>
      <c r="I108" s="40"/>
      <c r="J108" s="27"/>
      <c r="K108" s="36"/>
      <c r="R108" s="11"/>
      <c r="S108" s="20"/>
      <c r="T108" s="11"/>
    </row>
    <row r="109" spans="1:20" ht="17" thickBot="1" x14ac:dyDescent="0.25">
      <c r="A109" s="24"/>
      <c r="B109" s="85"/>
      <c r="C109" s="85"/>
      <c r="D109" s="85"/>
      <c r="E109" s="85"/>
      <c r="F109" s="86"/>
      <c r="G109" s="87"/>
      <c r="H109" s="88"/>
      <c r="I109" s="89"/>
      <c r="J109" s="90"/>
      <c r="K109" s="87"/>
      <c r="R109" s="11"/>
      <c r="S109" s="20"/>
      <c r="T109" s="11"/>
    </row>
    <row r="110" spans="1:20" ht="17" thickTop="1" x14ac:dyDescent="0.2">
      <c r="A110" s="24"/>
      <c r="B110" s="24"/>
      <c r="C110" s="24"/>
      <c r="D110" s="24"/>
      <c r="E110" s="24"/>
      <c r="F110" s="31"/>
      <c r="G110" s="36"/>
      <c r="H110" s="37"/>
      <c r="I110" s="40"/>
      <c r="J110" s="27"/>
      <c r="K110" s="36"/>
      <c r="R110" s="11"/>
      <c r="S110" s="20"/>
      <c r="T110" s="11"/>
    </row>
    <row r="111" spans="1:20" ht="16" x14ac:dyDescent="0.2">
      <c r="A111" s="24"/>
      <c r="B111" s="24"/>
      <c r="C111" s="24"/>
      <c r="D111" s="24"/>
      <c r="E111" s="24"/>
      <c r="F111" s="31"/>
      <c r="G111" s="36"/>
      <c r="H111" s="37"/>
      <c r="I111" s="40"/>
      <c r="J111" s="27"/>
      <c r="K111" s="36"/>
    </row>
    <row r="113" spans="2:11" ht="14" x14ac:dyDescent="0.15">
      <c r="E113" s="42"/>
      <c r="K113" s="11"/>
    </row>
    <row r="114" spans="2:11" ht="16" x14ac:dyDescent="0.2">
      <c r="E114" s="93" t="s">
        <v>249</v>
      </c>
    </row>
    <row r="115" spans="2:11" ht="13" x14ac:dyDescent="0.15">
      <c r="E115" s="154" t="s">
        <v>262</v>
      </c>
    </row>
    <row r="116" spans="2:11" ht="14" x14ac:dyDescent="0.15">
      <c r="E116" s="42"/>
    </row>
    <row r="117" spans="2:11" ht="14" x14ac:dyDescent="0.15">
      <c r="E117" s="42"/>
    </row>
    <row r="118" spans="2:11" ht="16" x14ac:dyDescent="0.2">
      <c r="E118" s="24"/>
      <c r="F118" s="24"/>
      <c r="G118" s="24"/>
      <c r="H118" s="24"/>
      <c r="I118" s="24"/>
      <c r="J118" s="24"/>
    </row>
    <row r="119" spans="2:11" ht="16" x14ac:dyDescent="0.2">
      <c r="B119" s="10" t="s">
        <v>245</v>
      </c>
      <c r="E119" s="24"/>
      <c r="F119" s="24"/>
      <c r="G119" s="24"/>
      <c r="H119" s="24"/>
      <c r="I119" s="24"/>
      <c r="J119" s="24"/>
    </row>
    <row r="120" spans="2:11" x14ac:dyDescent="0.15">
      <c r="B120" s="10" t="s">
        <v>246</v>
      </c>
    </row>
    <row r="123" spans="2:11" x14ac:dyDescent="0.15">
      <c r="B123" s="76" t="s">
        <v>247</v>
      </c>
    </row>
    <row r="124" spans="2:11" x14ac:dyDescent="0.15">
      <c r="B124" s="76" t="s">
        <v>248</v>
      </c>
    </row>
    <row r="125" spans="2:11" ht="13" x14ac:dyDescent="0.15">
      <c r="B125" s="76" t="s">
        <v>215</v>
      </c>
      <c r="E125" s="74"/>
      <c r="F125" s="74"/>
      <c r="G125" s="74"/>
      <c r="H125"/>
      <c r="I125" s="75"/>
    </row>
    <row r="126" spans="2:11" ht="13" x14ac:dyDescent="0.15">
      <c r="E126" s="74"/>
      <c r="F126" s="74"/>
      <c r="G126" s="74"/>
      <c r="H126"/>
      <c r="I126" s="75"/>
    </row>
    <row r="127" spans="2:11" ht="13" x14ac:dyDescent="0.15">
      <c r="E127" s="74"/>
      <c r="F127" s="74"/>
      <c r="G127" s="74"/>
      <c r="H127"/>
      <c r="I127" s="75"/>
    </row>
    <row r="149" spans="7:10" ht="13" x14ac:dyDescent="0.15">
      <c r="G149" t="s">
        <v>152</v>
      </c>
      <c r="H149"/>
      <c r="I149"/>
      <c r="J149" s="17">
        <f>'INPUT SHEET'!M18</f>
        <v>25</v>
      </c>
    </row>
    <row r="150" spans="7:10" ht="13" x14ac:dyDescent="0.15">
      <c r="G150"/>
      <c r="H150"/>
      <c r="I150" t="s">
        <v>156</v>
      </c>
      <c r="J150" s="72">
        <f>+J149*43560</f>
        <v>1089000</v>
      </c>
    </row>
    <row r="151" spans="7:10" ht="13" x14ac:dyDescent="0.15">
      <c r="G151"/>
      <c r="H151"/>
      <c r="I151"/>
      <c r="J151" s="72">
        <f>SQRT(J150)</f>
        <v>1043.5516278555651</v>
      </c>
    </row>
    <row r="152" spans="7:10" ht="13" x14ac:dyDescent="0.15">
      <c r="G152" t="s">
        <v>153</v>
      </c>
      <c r="H152"/>
      <c r="I152"/>
      <c r="J152" s="72">
        <f>+J151*4</f>
        <v>4174.2065114222605</v>
      </c>
    </row>
    <row r="153" spans="7:10" ht="13" x14ac:dyDescent="0.15">
      <c r="G153"/>
      <c r="H153"/>
      <c r="I153"/>
      <c r="J153" s="72"/>
    </row>
    <row r="154" spans="7:10" ht="13" x14ac:dyDescent="0.15">
      <c r="G154" t="s">
        <v>154</v>
      </c>
      <c r="H154"/>
      <c r="I154"/>
      <c r="J154" s="17">
        <f>'INPUT SHEET'!T20</f>
        <v>2.74</v>
      </c>
    </row>
    <row r="155" spans="7:10" ht="13" x14ac:dyDescent="0.15">
      <c r="G155"/>
      <c r="H155"/>
      <c r="I155"/>
      <c r="J155" s="72"/>
    </row>
    <row r="156" spans="7:10" ht="13" x14ac:dyDescent="0.15">
      <c r="G156" t="s">
        <v>155</v>
      </c>
      <c r="H156"/>
      <c r="I156"/>
      <c r="J156" s="72">
        <f>+J152*J154</f>
        <v>11437.325841296995</v>
      </c>
    </row>
    <row r="157" spans="7:10" x14ac:dyDescent="0.15">
      <c r="J157" s="73"/>
    </row>
    <row r="158" spans="7:10" x14ac:dyDescent="0.15">
      <c r="J158" s="73"/>
    </row>
    <row r="164" spans="8:8" x14ac:dyDescent="0.15">
      <c r="H164" s="10">
        <f>700*50</f>
        <v>35000</v>
      </c>
    </row>
  </sheetData>
  <sheetProtection sheet="1" selectLockedCells="1"/>
  <phoneticPr fontId="14" type="noConversion"/>
  <hyperlinks>
    <hyperlink ref="E115" r:id="rId1" xr:uid="{8763FCFD-2836-4B18-A30F-07B3698DB25D}"/>
  </hyperlinks>
  <pageMargins left="0.3" right="0.25" top="0.75" bottom="0.5" header="0.5" footer="0.5"/>
  <pageSetup scale="76" fitToHeight="2" orientation="portrait" r:id="rId2"/>
  <headerFooter alignWithMargins="0">
    <oddHeader xml:space="preserve">&amp;C </oddHeader>
  </headerFooter>
  <drawing r:id="rId3"/>
</worksheet>
</file>

<file path=docProps/app.xml><?xml version="1.0" encoding="utf-8"?>
<Properties xmlns="http://schemas.openxmlformats.org/officeDocument/2006/extended-properties" xmlns:vt="http://schemas.openxmlformats.org/officeDocument/2006/docPropsVTypes">
  <Application>Microsoft Macintosh Excel</Application>
  <DocSecurity>0</DocSecurity>
  <ScaleCrop>false</ScaleCrop>
  <HeadingPairs>
    <vt:vector size="4" baseType="variant">
      <vt:variant>
        <vt:lpstr>Worksheets</vt:lpstr>
      </vt:variant>
      <vt:variant>
        <vt:i4>4</vt:i4>
      </vt:variant>
      <vt:variant>
        <vt:lpstr>Named Ranges</vt:lpstr>
      </vt:variant>
      <vt:variant>
        <vt:i4>2</vt:i4>
      </vt:variant>
    </vt:vector>
  </HeadingPairs>
  <TitlesOfParts>
    <vt:vector size="6" baseType="lpstr">
      <vt:lpstr> Menu</vt:lpstr>
      <vt:lpstr>Budget Notes</vt:lpstr>
      <vt:lpstr>INPUT SHEET</vt:lpstr>
      <vt:lpstr>YOUR Enterprise Budget</vt:lpstr>
      <vt:lpstr>'INPUT SHEET'!Print_Area</vt:lpstr>
      <vt:lpstr>'YOUR Enterprise Budget'!Print_Area</vt:lpstr>
    </vt:vector>
  </TitlesOfParts>
  <Company>Dell Computer Corporation</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Jay M. Lillywhite</dc:creator>
  <cp:lastModifiedBy>Microsoft Office User</cp:lastModifiedBy>
  <cp:lastPrinted>2009-04-14T20:17:38Z</cp:lastPrinted>
  <dcterms:created xsi:type="dcterms:W3CDTF">2000-02-11T06:00:51Z</dcterms:created>
  <dcterms:modified xsi:type="dcterms:W3CDTF">2022-03-10T15:43:32Z</dcterms:modified>
</cp:coreProperties>
</file>