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h0082\Auburn University\OneDrive - Auburn University\Documents\ACES - Agriculture\business-management\budgets\2018\documents\"/>
    </mc:Choice>
  </mc:AlternateContent>
  <bookViews>
    <workbookView xWindow="0" yWindow="0" windowWidth="28800" windowHeight="12225"/>
  </bookViews>
  <sheets>
    <sheet name="Inputs" sheetId="1" r:id="rId1"/>
    <sheet name="Start Up Capital Cost" sheetId="2" r:id="rId2"/>
    <sheet name="Yearly Enterprise Budget" sheetId="3" r:id="rId3"/>
    <sheet name="Yearly Cash Flow Analysis" sheetId="4" state="hidden" r:id="rId4"/>
    <sheet name="Sensitivity Analysis" sheetId="5" state="hidden" r:id="rId5"/>
  </sheets>
  <definedNames>
    <definedName name="_xlnm.Print_Area" localSheetId="2">'Yearly Enterprise Budget'!$A$4:$H$51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3" i="2"/>
  <c r="B26" i="1" l="1"/>
  <c r="H39" i="1"/>
  <c r="H34" i="1"/>
  <c r="C4" i="4" l="1"/>
  <c r="H36" i="1"/>
  <c r="E7" i="2" l="1"/>
  <c r="I7" i="2" s="1"/>
  <c r="E8" i="2"/>
  <c r="I8" i="2" s="1"/>
  <c r="E9" i="2"/>
  <c r="I9" i="2" s="1"/>
  <c r="F37" i="3"/>
  <c r="H42" i="1" l="1"/>
  <c r="H41" i="1" s="1"/>
  <c r="E12" i="3" l="1"/>
  <c r="D4" i="5" s="1"/>
  <c r="C12" i="3"/>
  <c r="F12" i="3" l="1"/>
  <c r="F15" i="3" l="1"/>
  <c r="E17" i="2"/>
  <c r="I17" i="2" s="1"/>
  <c r="E18" i="2"/>
  <c r="I18" i="2" s="1"/>
  <c r="E19" i="2"/>
  <c r="I19" i="2" s="1"/>
  <c r="E20" i="2"/>
  <c r="I20" i="2" s="1"/>
  <c r="E21" i="2"/>
  <c r="E22" i="2"/>
  <c r="E23" i="2"/>
  <c r="E24" i="2"/>
  <c r="E25" i="2"/>
  <c r="E16" i="2"/>
  <c r="I16" i="2" s="1"/>
  <c r="E4" i="2"/>
  <c r="I4" i="2" s="1"/>
  <c r="I5" i="2"/>
  <c r="E10" i="2"/>
  <c r="I10" i="2" s="1"/>
  <c r="E11" i="2"/>
  <c r="E12" i="2"/>
  <c r="I3" i="2"/>
  <c r="I26" i="2" l="1"/>
  <c r="E26" i="2"/>
  <c r="F26" i="3" l="1"/>
  <c r="F39" i="3"/>
  <c r="C21" i="3"/>
  <c r="F23" i="3"/>
  <c r="C22" i="3"/>
  <c r="E22" i="3"/>
  <c r="F22" i="3" l="1"/>
  <c r="F41" i="3" l="1"/>
  <c r="F24" i="3" l="1"/>
  <c r="E38" i="3"/>
  <c r="E11" i="4"/>
  <c r="E8" i="3"/>
  <c r="C38" i="3"/>
  <c r="C31" i="3"/>
  <c r="E25" i="3"/>
  <c r="E21" i="3"/>
  <c r="E19" i="3"/>
  <c r="D5" i="5"/>
  <c r="C19" i="3" l="1"/>
  <c r="F19" i="3" s="1"/>
  <c r="G23" i="3"/>
  <c r="G24" i="3"/>
  <c r="G22" i="3"/>
  <c r="F21" i="3"/>
  <c r="E16" i="4"/>
  <c r="E12" i="4"/>
  <c r="E8" i="4"/>
  <c r="E17" i="4"/>
  <c r="E13" i="4"/>
  <c r="E9" i="4"/>
  <c r="E7" i="4"/>
  <c r="E14" i="4"/>
  <c r="E10" i="4"/>
  <c r="E15" i="4"/>
  <c r="G39" i="3"/>
  <c r="G37" i="3"/>
  <c r="G26" i="3"/>
  <c r="G41" i="3"/>
  <c r="F38" i="3"/>
  <c r="C25" i="3" l="1"/>
  <c r="F25" i="3" s="1"/>
  <c r="C4" i="5"/>
  <c r="C5" i="5"/>
  <c r="G21" i="3"/>
  <c r="G38" i="3"/>
  <c r="G19" i="3"/>
  <c r="B11" i="4" l="1"/>
  <c r="E5" i="5"/>
  <c r="C6" i="5"/>
  <c r="E11" i="5" s="1"/>
  <c r="E4" i="5"/>
  <c r="B17" i="4"/>
  <c r="G25" i="3"/>
  <c r="B12" i="4" l="1"/>
  <c r="B14" i="4"/>
  <c r="B13" i="4"/>
  <c r="B16" i="4"/>
  <c r="B8" i="4"/>
  <c r="B10" i="4"/>
  <c r="B15" i="4"/>
  <c r="B7" i="4"/>
  <c r="B9" i="4"/>
  <c r="F4" i="5"/>
  <c r="B16" i="5" s="1"/>
  <c r="B15" i="5" s="1"/>
  <c r="F11" i="5"/>
  <c r="D11" i="5"/>
  <c r="C11" i="5" s="1"/>
  <c r="G30" i="3"/>
  <c r="G29" i="3"/>
  <c r="G28" i="3"/>
  <c r="F31" i="3"/>
  <c r="G27" i="3"/>
  <c r="B17" i="5" l="1"/>
  <c r="B18" i="5" s="1"/>
  <c r="G11" i="5"/>
  <c r="B14" i="5"/>
  <c r="F32" i="3"/>
  <c r="G31" i="3"/>
  <c r="B13" i="5" l="1"/>
  <c r="B19" i="5"/>
  <c r="G32" i="3"/>
  <c r="F33" i="3"/>
  <c r="B12" i="5" l="1"/>
  <c r="B20" i="5"/>
  <c r="G33" i="3"/>
  <c r="H38" i="1"/>
  <c r="B6" i="2"/>
  <c r="E6" i="2" s="1"/>
  <c r="I6" i="2" s="1"/>
  <c r="I13" i="2" s="1"/>
  <c r="I28" i="2" s="1"/>
  <c r="F42" i="3" s="1"/>
  <c r="G42" i="3" l="1"/>
  <c r="E13" i="2"/>
  <c r="E28" i="2" l="1"/>
  <c r="F3" i="4" s="1"/>
  <c r="C7" i="4" s="1"/>
  <c r="D7" i="4" s="1"/>
  <c r="F40" i="3"/>
  <c r="F43" i="3" l="1"/>
  <c r="G40" i="3"/>
  <c r="F45" i="3" l="1"/>
  <c r="G45" i="3" s="1"/>
  <c r="G43" i="3"/>
  <c r="I27" i="3" l="1"/>
  <c r="D15" i="5"/>
  <c r="C17" i="5"/>
  <c r="C12" i="5"/>
  <c r="D17" i="5"/>
  <c r="E18" i="5"/>
  <c r="C15" i="4"/>
  <c r="I33" i="3"/>
  <c r="E14" i="5"/>
  <c r="D18" i="5"/>
  <c r="I38" i="3"/>
  <c r="C11" i="4"/>
  <c r="G15" i="5"/>
  <c r="I41" i="3"/>
  <c r="C13" i="4"/>
  <c r="D13" i="5"/>
  <c r="I20" i="3"/>
  <c r="I31" i="3"/>
  <c r="C52" i="3"/>
  <c r="C14" i="4"/>
  <c r="C19" i="5"/>
  <c r="I32" i="3"/>
  <c r="G16" i="5"/>
  <c r="F14" i="5"/>
  <c r="I21" i="3"/>
  <c r="C13" i="5"/>
  <c r="D16" i="5"/>
  <c r="D14" i="5"/>
  <c r="F17" i="5"/>
  <c r="F15" i="5"/>
  <c r="E20" i="5"/>
  <c r="I24" i="3"/>
  <c r="E19" i="5"/>
  <c r="F18" i="5"/>
  <c r="G19" i="5"/>
  <c r="G17" i="5"/>
  <c r="F20" i="5"/>
  <c r="I29" i="3"/>
  <c r="C17" i="4"/>
  <c r="I22" i="3"/>
  <c r="E15" i="5"/>
  <c r="C16" i="5"/>
  <c r="F12" i="5"/>
  <c r="F19" i="5"/>
  <c r="I26" i="3"/>
  <c r="D12" i="5"/>
  <c r="C20" i="5"/>
  <c r="C12" i="4"/>
  <c r="I45" i="3"/>
  <c r="G18" i="5"/>
  <c r="F13" i="5"/>
  <c r="C15" i="5"/>
  <c r="C16" i="4"/>
  <c r="D19" i="5"/>
  <c r="C14" i="5"/>
  <c r="E16" i="5"/>
  <c r="F16" i="5"/>
  <c r="F47" i="3"/>
  <c r="C51" i="3"/>
  <c r="I19" i="3"/>
  <c r="I25" i="3"/>
  <c r="G20" i="5"/>
  <c r="I23" i="3"/>
  <c r="C18" i="5"/>
  <c r="C8" i="4"/>
  <c r="D8" i="4" s="1"/>
  <c r="E12" i="5"/>
  <c r="I28" i="3"/>
  <c r="E13" i="5"/>
  <c r="G12" i="5"/>
  <c r="D20" i="5"/>
  <c r="I39" i="3"/>
  <c r="G14" i="5"/>
  <c r="G13" i="5"/>
  <c r="I30" i="3"/>
  <c r="E17" i="5"/>
  <c r="I37" i="3"/>
  <c r="C9" i="4"/>
  <c r="C10" i="4"/>
  <c r="I42" i="3"/>
  <c r="I40" i="3"/>
  <c r="I43" i="3"/>
  <c r="D52" i="3" l="1"/>
  <c r="D51" i="3"/>
  <c r="D9" i="4"/>
  <c r="D10" i="4" s="1"/>
  <c r="D11" i="4" s="1"/>
  <c r="D12" i="4" s="1"/>
  <c r="D13" i="4" s="1"/>
  <c r="D14" i="4" s="1"/>
  <c r="D15" i="4" s="1"/>
  <c r="D16" i="4" s="1"/>
  <c r="D17" i="4" s="1"/>
  <c r="D20" i="4" l="1"/>
</calcChain>
</file>

<file path=xl/comments1.xml><?xml version="1.0" encoding="utf-8"?>
<comments xmlns="http://schemas.openxmlformats.org/spreadsheetml/2006/main">
  <authors>
    <author>AgSurvivor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AgSurvivor:</t>
        </r>
        <r>
          <rPr>
            <sz val="9"/>
            <color indexed="81"/>
            <rFont val="Tahoma"/>
            <family val="2"/>
          </rPr>
          <t xml:space="preserve">
These costs seem VERY low.  Are these new or used.  Think some research on it.
From Matt- I will look into the costs after the spreadsheet is complete.  I need numbers to make sure it works properly.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AgSurvivor:</t>
        </r>
        <r>
          <rPr>
            <sz val="9"/>
            <color indexed="81"/>
            <rFont val="Tahoma"/>
            <family val="2"/>
          </rPr>
          <t xml:space="preserve">
Any personal use
From Matt- If there is any personal use, the user would input a percentage less than 100%</t>
        </r>
      </text>
    </comment>
  </commentList>
</comments>
</file>

<file path=xl/sharedStrings.xml><?xml version="1.0" encoding="utf-8"?>
<sst xmlns="http://schemas.openxmlformats.org/spreadsheetml/2006/main" count="190" uniqueCount="138">
  <si>
    <t>Item</t>
  </si>
  <si>
    <t>Salvage Value</t>
  </si>
  <si>
    <t>Refrigeration Unit</t>
  </si>
  <si>
    <t>Shellwasher</t>
  </si>
  <si>
    <t>Sorting Tables</t>
  </si>
  <si>
    <t>Truck</t>
  </si>
  <si>
    <t>Fuel</t>
  </si>
  <si>
    <t>Labor</t>
  </si>
  <si>
    <t>#</t>
  </si>
  <si>
    <t>Total Cost</t>
  </si>
  <si>
    <t>Years Useful Life</t>
  </si>
  <si>
    <t>Yearly Depreciation</t>
  </si>
  <si>
    <t>Income</t>
  </si>
  <si>
    <t>Total $</t>
  </si>
  <si>
    <t>Other</t>
  </si>
  <si>
    <t>Variable Cost</t>
  </si>
  <si>
    <t xml:space="preserve">Monitoring </t>
  </si>
  <si>
    <t>Retail Containers</t>
  </si>
  <si>
    <t>Marketing Expenses</t>
  </si>
  <si>
    <t>Overhead</t>
  </si>
  <si>
    <t>Insurance</t>
  </si>
  <si>
    <t>Lease Fees</t>
  </si>
  <si>
    <t>Permit Fees</t>
  </si>
  <si>
    <t>Depreciation</t>
  </si>
  <si>
    <t>Loan Payments</t>
  </si>
  <si>
    <t>Fixed Costs</t>
  </si>
  <si>
    <t>Total Fixed Cost</t>
  </si>
  <si>
    <t>Total Costs</t>
  </si>
  <si>
    <t>Yearly Cash Flow Analysis</t>
  </si>
  <si>
    <t>Year</t>
  </si>
  <si>
    <t>Expenses</t>
  </si>
  <si>
    <t xml:space="preserve">Harvest begins in year </t>
  </si>
  <si>
    <t>Cash Balance</t>
  </si>
  <si>
    <t>10 Year Internal Rate of Return</t>
  </si>
  <si>
    <t>Desired Annual Production</t>
  </si>
  <si>
    <t>Annual Planting Rate</t>
  </si>
  <si>
    <t>Monitoring Cost</t>
  </si>
  <si>
    <t>Production Assumptions</t>
  </si>
  <si>
    <t>Marketing Assumptions</t>
  </si>
  <si>
    <t>Other Cost Assumptions</t>
  </si>
  <si>
    <t>Calculated Values</t>
  </si>
  <si>
    <t>Barge</t>
  </si>
  <si>
    <t>Yearly Loan Payments</t>
  </si>
  <si>
    <t>Capital Investment Cost</t>
  </si>
  <si>
    <t>Unit</t>
  </si>
  <si>
    <t>Single Oysters</t>
  </si>
  <si>
    <t>Projected Harvest (Bushels)</t>
  </si>
  <si>
    <t>Quantity</t>
  </si>
  <si>
    <t>*Yield difference based on survival and/or harvest efficiency  with production costs remaining constant.</t>
  </si>
  <si>
    <t>Break Even Analysis</t>
  </si>
  <si>
    <t>TOTAL</t>
  </si>
  <si>
    <t>Gross Income</t>
  </si>
  <si>
    <t>Total Gross Income</t>
  </si>
  <si>
    <t>Total Variable Costs</t>
  </si>
  <si>
    <t>Effects of Weighted Average Price and Annual Yield* on Pre-tax Income</t>
  </si>
  <si>
    <t>Vessel</t>
  </si>
  <si>
    <t>Front End Loader</t>
  </si>
  <si>
    <t>Required Items</t>
  </si>
  <si>
    <t>Optional Items</t>
  </si>
  <si>
    <t>Required Item Total</t>
  </si>
  <si>
    <t>Optional Item Total</t>
  </si>
  <si>
    <t>Grand Total</t>
  </si>
  <si>
    <t>Lease Size</t>
  </si>
  <si>
    <t>Acres</t>
  </si>
  <si>
    <t>Number Of Years Until Harvest Size</t>
  </si>
  <si>
    <t>Survival From Planting To Harvest</t>
  </si>
  <si>
    <t xml:space="preserve">Average Yearly Fuel Cost </t>
  </si>
  <si>
    <t>Lease Rent</t>
  </si>
  <si>
    <t>$ Per Acre</t>
  </si>
  <si>
    <t>$ Per Hour</t>
  </si>
  <si>
    <t>$ Per Year</t>
  </si>
  <si>
    <t>Yearly Permit Fees</t>
  </si>
  <si>
    <t>Interest On Operating Funds</t>
  </si>
  <si>
    <t>Price For Half Shell Market</t>
  </si>
  <si>
    <t>$ Per Oyster</t>
  </si>
  <si>
    <t>Total Number Of Oysters Harvested Per Year</t>
  </si>
  <si>
    <t>Count Box</t>
  </si>
  <si>
    <t>Cost Of Retail Containers</t>
  </si>
  <si>
    <t>Per Container</t>
  </si>
  <si>
    <t>Total Oysters Harvested Per Acre</t>
  </si>
  <si>
    <t>Per Year</t>
  </si>
  <si>
    <t>Cost Per Unit</t>
  </si>
  <si>
    <t>Percentage Of Time Devoted To Aquaculture</t>
  </si>
  <si>
    <t>Each</t>
  </si>
  <si>
    <t>Harvest Baskets</t>
  </si>
  <si>
    <t>$ Per Unit</t>
  </si>
  <si>
    <t>Half Shell Market Oysters</t>
  </si>
  <si>
    <t>$ Per Oyster Harvested</t>
  </si>
  <si>
    <t>$ Per Bushel Harvested</t>
  </si>
  <si>
    <t>Percentage Of Total Cost</t>
  </si>
  <si>
    <t>Interest On Operating Loan</t>
  </si>
  <si>
    <t>Income Before Taxes</t>
  </si>
  <si>
    <t>Break Even Cost</t>
  </si>
  <si>
    <t>1000 Spat</t>
  </si>
  <si>
    <t>Boxes</t>
  </si>
  <si>
    <t>Of Above Costs</t>
  </si>
  <si>
    <t>Weighted Average Price Per Bushel</t>
  </si>
  <si>
    <t>Price Per Bushel</t>
  </si>
  <si>
    <t>Percentage Of Sales</t>
  </si>
  <si>
    <t>Annual Production (Bushels)</t>
  </si>
  <si>
    <t>General Labor Rate</t>
  </si>
  <si>
    <t>General Labor Hours Per Week</t>
  </si>
  <si>
    <t>General Labor Weeks Per Year</t>
  </si>
  <si>
    <t>Supervisory Labor Rate</t>
  </si>
  <si>
    <t>Supervisory Labor Hours Per Week</t>
  </si>
  <si>
    <t>Supervisory Labor Weeks Per Year</t>
  </si>
  <si>
    <t>General Labor</t>
  </si>
  <si>
    <t>Purchase Price Of Seed</t>
  </si>
  <si>
    <t>Containers per acre</t>
  </si>
  <si>
    <t>Total number of containers</t>
  </si>
  <si>
    <t>Total containers Havested Per Year</t>
  </si>
  <si>
    <t>Repairs (4%)</t>
  </si>
  <si>
    <t>Crane/Hoist</t>
  </si>
  <si>
    <t>Required Insurance</t>
  </si>
  <si>
    <t>Optional Insurance (crop, vehicle, etc)</t>
  </si>
  <si>
    <t>Powerwasher</t>
  </si>
  <si>
    <t>Intital Capital Investment</t>
  </si>
  <si>
    <t>Market Size Oysters Per Container</t>
  </si>
  <si>
    <t>Seed Per Acre</t>
  </si>
  <si>
    <t>Total Seed Needed</t>
  </si>
  <si>
    <t>Seed</t>
  </si>
  <si>
    <t>Acres of lease harvested each year</t>
  </si>
  <si>
    <t>Containers Harversted per Year</t>
  </si>
  <si>
    <t>Floating Cages - 6 Bag</t>
  </si>
  <si>
    <t>Oysters</t>
  </si>
  <si>
    <t>Farm Manager</t>
  </si>
  <si>
    <t>Oysters Sold To Half Shell Market</t>
  </si>
  <si>
    <t>$ Per 1000 Spat R6</t>
  </si>
  <si>
    <t>Enterprise Cash Flow Before Taxes</t>
  </si>
  <si>
    <r>
      <t xml:space="preserve">Note: Changes can ONLY be made to highlighted cells in </t>
    </r>
    <r>
      <rPr>
        <b/>
        <sz val="12"/>
        <color rgb="FF0A32FA"/>
        <rFont val="Arial"/>
        <family val="2"/>
      </rPr>
      <t>BLUE</t>
    </r>
    <r>
      <rPr>
        <sz val="12"/>
        <color rgb="FF0A32FA"/>
        <rFont val="Arial"/>
        <family val="2"/>
      </rPr>
      <t>.</t>
    </r>
  </si>
  <si>
    <t xml:space="preserve">               Off Bottom Oyster Aquaculture Floating Cage Farm*</t>
  </si>
  <si>
    <t xml:space="preserve">                        This sheet shows estimated costs and returns once full harvests begin.</t>
  </si>
  <si>
    <t xml:space="preserve">                        Year prior to harvest will be expenses only.</t>
  </si>
  <si>
    <t xml:space="preserve">                        Marketable oysters are harvested in year</t>
  </si>
  <si>
    <t>Cage  Anchoring Equipment</t>
  </si>
  <si>
    <t>Mesh envelopes inside cages</t>
  </si>
  <si>
    <t>Retail Boxes - Packaging</t>
  </si>
  <si>
    <t>* This farm budget is largely based with permission on publication AGNR-EM-14-07 by Matt Parker, Shannon Dill, Don Webster and Don Meritt of the University of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</si>
</sst>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#,##0.0_);\(#,##0.0\)"/>
    <numFmt numFmtId="169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b/>
      <sz val="12"/>
      <color rgb="FF0A32FA"/>
      <name val="Arial"/>
      <family val="2"/>
    </font>
    <font>
      <sz val="12"/>
      <color rgb="FF0A32FA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 applyBorder="1"/>
    <xf numFmtId="164" fontId="0" fillId="0" borderId="0" xfId="2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164" fontId="0" fillId="0" borderId="0" xfId="2" applyNumberFormat="1" applyFont="1" applyBorder="1"/>
    <xf numFmtId="0" fontId="0" fillId="0" borderId="0" xfId="0" applyAlignment="1">
      <alignment vertical="center" textRotation="90" wrapText="1"/>
    </xf>
    <xf numFmtId="0" fontId="0" fillId="0" borderId="0" xfId="0" applyAlignment="1"/>
    <xf numFmtId="9" fontId="0" fillId="0" borderId="0" xfId="3" applyFont="1" applyBorder="1" applyAlignment="1">
      <alignment horizontal="center"/>
    </xf>
    <xf numFmtId="164" fontId="0" fillId="0" borderId="0" xfId="2" applyNumberFormat="1" applyFont="1" applyBorder="1" applyAlignment="1"/>
    <xf numFmtId="0" fontId="0" fillId="0" borderId="0" xfId="3" applyNumberFormat="1" applyFont="1" applyBorder="1" applyAlignment="1">
      <alignment horizontal="center"/>
    </xf>
    <xf numFmtId="44" fontId="0" fillId="0" borderId="1" xfId="2" applyNumberFormat="1" applyFont="1" applyBorder="1" applyAlignment="1"/>
    <xf numFmtId="9" fontId="0" fillId="0" borderId="1" xfId="3" applyFont="1" applyBorder="1" applyAlignment="1"/>
    <xf numFmtId="0" fontId="0" fillId="0" borderId="5" xfId="3" applyNumberFormat="1" applyFont="1" applyBorder="1" applyAlignment="1">
      <alignment horizontal="center"/>
    </xf>
    <xf numFmtId="44" fontId="0" fillId="0" borderId="5" xfId="2" applyNumberFormat="1" applyFont="1" applyBorder="1" applyAlignment="1"/>
    <xf numFmtId="9" fontId="0" fillId="0" borderId="5" xfId="3" applyFont="1" applyBorder="1" applyAlignment="1"/>
    <xf numFmtId="164" fontId="0" fillId="0" borderId="1" xfId="2" applyNumberFormat="1" applyFont="1" applyBorder="1" applyAlignment="1"/>
    <xf numFmtId="164" fontId="0" fillId="0" borderId="8" xfId="2" applyNumberFormat="1" applyFont="1" applyBorder="1" applyAlignment="1"/>
    <xf numFmtId="164" fontId="0" fillId="3" borderId="12" xfId="2" applyNumberFormat="1" applyFont="1" applyFill="1" applyBorder="1"/>
    <xf numFmtId="164" fontId="0" fillId="0" borderId="2" xfId="2" applyNumberFormat="1" applyFont="1" applyBorder="1"/>
    <xf numFmtId="164" fontId="0" fillId="0" borderId="16" xfId="2" applyNumberFormat="1" applyFont="1" applyBorder="1"/>
    <xf numFmtId="164" fontId="0" fillId="0" borderId="18" xfId="2" applyNumberFormat="1" applyFont="1" applyBorder="1"/>
    <xf numFmtId="164" fontId="0" fillId="0" borderId="19" xfId="2" applyNumberFormat="1" applyFont="1" applyBorder="1"/>
    <xf numFmtId="164" fontId="0" fillId="0" borderId="10" xfId="2" applyNumberFormat="1" applyFont="1" applyBorder="1"/>
    <xf numFmtId="164" fontId="0" fillId="0" borderId="20" xfId="2" applyNumberFormat="1" applyFont="1" applyBorder="1"/>
    <xf numFmtId="164" fontId="0" fillId="0" borderId="3" xfId="2" applyNumberFormat="1" applyFont="1" applyBorder="1"/>
    <xf numFmtId="164" fontId="0" fillId="0" borderId="21" xfId="2" applyNumberFormat="1" applyFont="1" applyBorder="1"/>
    <xf numFmtId="0" fontId="0" fillId="0" borderId="25" xfId="0" applyBorder="1" applyAlignment="1">
      <alignment vertical="center" textRotation="90" wrapText="1"/>
    </xf>
    <xf numFmtId="0" fontId="5" fillId="0" borderId="0" xfId="0" applyFont="1"/>
    <xf numFmtId="0" fontId="2" fillId="0" borderId="0" xfId="0" applyFont="1" applyAlignment="1">
      <alignment wrapText="1"/>
    </xf>
    <xf numFmtId="10" fontId="2" fillId="0" borderId="0" xfId="0" applyNumberFormat="1" applyFont="1"/>
    <xf numFmtId="0" fontId="2" fillId="0" borderId="11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9" fontId="2" fillId="0" borderId="9" xfId="0" applyNumberFormat="1" applyFont="1" applyBorder="1" applyAlignment="1">
      <alignment horizontal="center" wrapText="1"/>
    </xf>
    <xf numFmtId="9" fontId="2" fillId="0" borderId="4" xfId="3" applyFont="1" applyBorder="1" applyAlignment="1">
      <alignment horizontal="center"/>
    </xf>
    <xf numFmtId="9" fontId="2" fillId="0" borderId="7" xfId="3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20" xfId="0" applyNumberFormat="1" applyFont="1" applyBorder="1"/>
    <xf numFmtId="164" fontId="2" fillId="0" borderId="24" xfId="0" applyNumberFormat="1" applyFont="1" applyBorder="1"/>
    <xf numFmtId="169" fontId="0" fillId="0" borderId="1" xfId="3" applyNumberFormat="1" applyFont="1" applyBorder="1" applyAlignment="1">
      <alignment horizontal="center"/>
    </xf>
    <xf numFmtId="169" fontId="2" fillId="0" borderId="1" xfId="3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65" fontId="0" fillId="0" borderId="0" xfId="1" applyNumberFormat="1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1" fillId="0" borderId="0" xfId="0" applyFont="1" applyFill="1" applyBorder="1"/>
    <xf numFmtId="1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Border="1"/>
    <xf numFmtId="3" fontId="10" fillId="0" borderId="0" xfId="0" applyNumberFormat="1" applyFont="1" applyFill="1" applyBorder="1"/>
    <xf numFmtId="165" fontId="10" fillId="0" borderId="0" xfId="1" applyNumberFormat="1" applyFont="1" applyBorder="1"/>
    <xf numFmtId="43" fontId="10" fillId="0" borderId="0" xfId="1" applyNumberFormat="1" applyFont="1" applyBorder="1"/>
    <xf numFmtId="165" fontId="10" fillId="0" borderId="0" xfId="1" applyNumberFormat="1" applyFont="1" applyFill="1" applyBorder="1" applyAlignment="1">
      <alignment horizontal="right"/>
    </xf>
    <xf numFmtId="3" fontId="10" fillId="0" borderId="0" xfId="0" applyNumberFormat="1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64" fontId="10" fillId="0" borderId="0" xfId="2" applyNumberFormat="1" applyFont="1" applyBorder="1"/>
    <xf numFmtId="0" fontId="10" fillId="2" borderId="0" xfId="0" applyFont="1" applyFill="1" applyBorder="1"/>
    <xf numFmtId="9" fontId="10" fillId="2" borderId="0" xfId="3" applyFont="1" applyFill="1" applyBorder="1"/>
    <xf numFmtId="164" fontId="9" fillId="0" borderId="0" xfId="2" applyNumberFormat="1" applyFont="1" applyBorder="1"/>
    <xf numFmtId="164" fontId="9" fillId="0" borderId="0" xfId="0" applyNumberFormat="1" applyFont="1" applyBorder="1"/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9" fillId="0" borderId="0" xfId="2" applyNumberFormat="1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6" fontId="10" fillId="0" borderId="0" xfId="0" applyNumberFormat="1" applyFont="1" applyBorder="1"/>
    <xf numFmtId="44" fontId="10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164" fontId="12" fillId="0" borderId="0" xfId="2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/>
    </xf>
    <xf numFmtId="44" fontId="10" fillId="0" borderId="0" xfId="2" applyFont="1" applyBorder="1"/>
    <xf numFmtId="9" fontId="10" fillId="0" borderId="0" xfId="3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4" fontId="10" fillId="0" borderId="0" xfId="2" applyFont="1" applyFill="1" applyBorder="1"/>
    <xf numFmtId="164" fontId="10" fillId="0" borderId="0" xfId="2" applyNumberFormat="1" applyFont="1" applyFill="1" applyBorder="1"/>
    <xf numFmtId="9" fontId="10" fillId="0" borderId="0" xfId="3" applyFont="1" applyFill="1" applyBorder="1" applyAlignment="1">
      <alignment horizontal="center"/>
    </xf>
    <xf numFmtId="9" fontId="9" fillId="0" borderId="0" xfId="3" applyFont="1" applyBorder="1" applyAlignment="1">
      <alignment horizontal="center"/>
    </xf>
    <xf numFmtId="167" fontId="10" fillId="0" borderId="0" xfId="0" applyNumberFormat="1" applyFont="1" applyBorder="1"/>
    <xf numFmtId="167" fontId="9" fillId="0" borderId="0" xfId="0" applyNumberFormat="1" applyFont="1" applyBorder="1"/>
    <xf numFmtId="44" fontId="9" fillId="0" borderId="0" xfId="0" applyNumberFormat="1" applyFont="1" applyBorder="1"/>
    <xf numFmtId="0" fontId="9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/>
    <xf numFmtId="44" fontId="10" fillId="0" borderId="0" xfId="0" applyNumberFormat="1" applyFont="1" applyBorder="1" applyAlignment="1">
      <alignment horizontal="center"/>
    </xf>
    <xf numFmtId="164" fontId="13" fillId="4" borderId="0" xfId="2" applyNumberFormat="1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0" fontId="15" fillId="0" borderId="0" xfId="0" applyFont="1" applyBorder="1"/>
    <xf numFmtId="0" fontId="14" fillId="0" borderId="0" xfId="0" applyFont="1" applyBorder="1"/>
    <xf numFmtId="44" fontId="13" fillId="4" borderId="0" xfId="2" applyFont="1" applyFill="1" applyBorder="1" applyProtection="1">
      <protection locked="0"/>
    </xf>
    <xf numFmtId="168" fontId="13" fillId="4" borderId="0" xfId="2" applyNumberFormat="1" applyFont="1" applyFill="1" applyBorder="1" applyProtection="1">
      <protection locked="0"/>
    </xf>
    <xf numFmtId="39" fontId="13" fillId="4" borderId="0" xfId="2" applyNumberFormat="1" applyFont="1" applyFill="1" applyBorder="1" applyProtection="1">
      <protection locked="0"/>
    </xf>
    <xf numFmtId="164" fontId="13" fillId="4" borderId="0" xfId="2" applyNumberFormat="1" applyFont="1" applyFill="1" applyBorder="1" applyProtection="1">
      <protection locked="0"/>
    </xf>
    <xf numFmtId="9" fontId="13" fillId="4" borderId="0" xfId="3" applyFont="1" applyFill="1" applyBorder="1" applyProtection="1">
      <protection locked="0"/>
    </xf>
    <xf numFmtId="3" fontId="13" fillId="4" borderId="0" xfId="0" applyNumberFormat="1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1" fontId="13" fillId="4" borderId="0" xfId="3" applyNumberFormat="1" applyFont="1" applyFill="1" applyBorder="1" applyProtection="1">
      <protection locked="0"/>
    </xf>
    <xf numFmtId="9" fontId="10" fillId="0" borderId="0" xfId="3" applyFont="1" applyBorder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16" fillId="0" borderId="0" xfId="0" applyFont="1" applyBorder="1" applyAlignment="1"/>
    <xf numFmtId="0" fontId="12" fillId="0" borderId="0" xfId="0" applyFont="1" applyBorder="1" applyAlignment="1">
      <alignment horizontal="left" wrapText="1"/>
    </xf>
    <xf numFmtId="44" fontId="0" fillId="0" borderId="6" xfId="2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4" fillId="0" borderId="0" xfId="3" applyFont="1" applyBorder="1" applyAlignment="1">
      <alignment horizontal="center"/>
    </xf>
    <xf numFmtId="9" fontId="2" fillId="0" borderId="22" xfId="3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9" fontId="2" fillId="0" borderId="14" xfId="3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9" fontId="0" fillId="0" borderId="23" xfId="3" applyFont="1" applyBorder="1" applyAlignment="1">
      <alignment horizontal="center"/>
    </xf>
    <xf numFmtId="9" fontId="0" fillId="0" borderId="8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A32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'Yearly Cash Flow Analysis'!$D$6</c:f>
              <c:strCache>
                <c:ptCount val="1"/>
                <c:pt idx="0">
                  <c:v>Cash Balance</c:v>
                </c:pt>
              </c:strCache>
            </c:strRef>
          </c:tx>
          <c:invertIfNegative val="0"/>
          <c:cat>
            <c:numRef>
              <c:f>'Yearly Cash Flow Analysis'!$A$7:$A$17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'Yearly Cash Flow Analysis'!$D$7:$D$17</c:f>
              <c:numCache>
                <c:formatCode>_("$"* #,##0_);_("$"* \(#,##0\);_("$"* "-"??_);_(@_)</c:formatCode>
                <c:ptCount val="11"/>
                <c:pt idx="0">
                  <c:v>-79900</c:v>
                </c:pt>
                <c:pt idx="1">
                  <c:v>-58083.095238095237</c:v>
                </c:pt>
                <c:pt idx="2">
                  <c:v>-36266.190476190473</c:v>
                </c:pt>
                <c:pt idx="3">
                  <c:v>-14449.28571428571</c:v>
                </c:pt>
                <c:pt idx="4">
                  <c:v>7367.6190476190532</c:v>
                </c:pt>
                <c:pt idx="5">
                  <c:v>29184.523809523816</c:v>
                </c:pt>
                <c:pt idx="6">
                  <c:v>51001.42857142858</c:v>
                </c:pt>
                <c:pt idx="7">
                  <c:v>72818.333333333343</c:v>
                </c:pt>
                <c:pt idx="8">
                  <c:v>94635.238095238106</c:v>
                </c:pt>
                <c:pt idx="9">
                  <c:v>116452.14285714287</c:v>
                </c:pt>
                <c:pt idx="10">
                  <c:v>138269.04761904763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A-4B5C-940B-D6802A635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679344"/>
        <c:axId val="485679736"/>
      </c:barChart>
      <c:catAx>
        <c:axId val="48567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679736"/>
        <c:crosses val="autoZero"/>
        <c:auto val="1"/>
        <c:lblAlgn val="ctr"/>
        <c:lblOffset val="100"/>
        <c:noMultiLvlLbl val="0"/>
      </c:catAx>
      <c:valAx>
        <c:axId val="48567973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8567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1514475</xdr:colOff>
      <xdr:row>1</xdr:row>
      <xdr:rowOff>47625</xdr:rowOff>
    </xdr:from>
    <xdr:ext cx="5778500" cy="2133003"/>
    <xdr:pic>
      <xdr:nvPicPr>
        <xdr:cNvPr id="10" name="Picture 9">
          <a:extLst>
            <a:ext uri="{FF2B5EF4-FFF2-40B4-BE49-F238E27FC236}">
              <a16:creationId xmlns:a16="http://schemas.microsoft.com/office/drawing/2014/main" id="{D594FEE9-AE67-4563-B54C-2876DE477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38125"/>
          <a:ext cx="5778500" cy="213300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152399</xdr:rowOff>
    </xdr:from>
    <xdr:to>
      <xdr:col>13</xdr:col>
      <xdr:colOff>523875</xdr:colOff>
      <xdr:row>22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4:K54"/>
  <sheetViews>
    <sheetView showGridLines="0" tabSelected="1" zoomScaleNormal="100" workbookViewId="0">
      <selection activeCell="B19" sqref="B19"/>
    </sheetView>
  </sheetViews>
  <sheetFormatPr defaultRowHeight="15" x14ac:dyDescent="0.25"/>
  <cols>
    <col min="1" max="1" width="43" style="6" customWidth="1"/>
    <col min="2" max="2" width="12.85546875" style="6" bestFit="1" customWidth="1"/>
    <col min="3" max="3" width="16.42578125" style="44" customWidth="1"/>
    <col min="4" max="4" width="3.42578125" style="6" customWidth="1"/>
    <col min="5" max="6" width="3" style="6" customWidth="1"/>
    <col min="7" max="7" width="40.140625" style="6" bestFit="1" customWidth="1"/>
    <col min="8" max="8" width="12.85546875" style="6" bestFit="1" customWidth="1"/>
    <col min="9" max="9" width="13.42578125" style="6" customWidth="1"/>
    <col min="10" max="10" width="9.140625" style="6"/>
    <col min="11" max="11" width="9" style="6" customWidth="1"/>
    <col min="12" max="16384" width="9.140625" style="6"/>
  </cols>
  <sheetData>
    <row r="14" spans="1:2" ht="33.75" x14ac:dyDescent="0.5">
      <c r="A14" s="46" t="s">
        <v>130</v>
      </c>
    </row>
    <row r="15" spans="1:2" ht="33.75" x14ac:dyDescent="0.5">
      <c r="B15" s="46"/>
    </row>
    <row r="16" spans="1:2" ht="15.75" x14ac:dyDescent="0.25">
      <c r="B16" s="103" t="s">
        <v>129</v>
      </c>
    </row>
    <row r="17" spans="1:11" ht="15.75" x14ac:dyDescent="0.25">
      <c r="B17" s="103"/>
    </row>
    <row r="18" spans="1:11" s="48" customFormat="1" ht="15.75" x14ac:dyDescent="0.25">
      <c r="A18" s="47" t="s">
        <v>37</v>
      </c>
      <c r="C18" s="49"/>
      <c r="G18" s="47" t="s">
        <v>39</v>
      </c>
    </row>
    <row r="19" spans="1:11" s="48" customFormat="1" ht="15.75" x14ac:dyDescent="0.25">
      <c r="A19" s="48" t="s">
        <v>34</v>
      </c>
      <c r="B19" s="109">
        <v>200000</v>
      </c>
      <c r="C19" s="49" t="s">
        <v>124</v>
      </c>
      <c r="G19" s="48" t="s">
        <v>67</v>
      </c>
      <c r="H19" s="104">
        <v>100</v>
      </c>
      <c r="I19" s="48" t="s">
        <v>68</v>
      </c>
    </row>
    <row r="20" spans="1:11" s="48" customFormat="1" ht="15.75" x14ac:dyDescent="0.25">
      <c r="A20" s="48" t="s">
        <v>117</v>
      </c>
      <c r="B20" s="110">
        <v>600</v>
      </c>
      <c r="C20" s="49"/>
      <c r="G20" s="48" t="s">
        <v>100</v>
      </c>
      <c r="H20" s="104">
        <v>10</v>
      </c>
      <c r="I20" s="48" t="s">
        <v>69</v>
      </c>
    </row>
    <row r="21" spans="1:11" s="48" customFormat="1" ht="15.75" x14ac:dyDescent="0.25">
      <c r="B21" s="110"/>
      <c r="C21" s="49"/>
      <c r="G21" s="48" t="s">
        <v>101</v>
      </c>
      <c r="H21" s="105">
        <v>20</v>
      </c>
      <c r="K21" s="50"/>
    </row>
    <row r="22" spans="1:11" s="48" customFormat="1" ht="15.75" x14ac:dyDescent="0.25">
      <c r="A22" s="48" t="s">
        <v>62</v>
      </c>
      <c r="B22" s="110">
        <v>2</v>
      </c>
      <c r="C22" s="49" t="s">
        <v>63</v>
      </c>
      <c r="G22" s="48" t="s">
        <v>102</v>
      </c>
      <c r="H22" s="105">
        <v>39</v>
      </c>
      <c r="K22" s="50"/>
    </row>
    <row r="23" spans="1:11" s="48" customFormat="1" ht="15.75" x14ac:dyDescent="0.25">
      <c r="A23" s="48" t="s">
        <v>108</v>
      </c>
      <c r="B23" s="51">
        <v>100</v>
      </c>
      <c r="C23" s="49"/>
      <c r="D23" s="52"/>
      <c r="E23" s="52"/>
      <c r="F23" s="53"/>
      <c r="G23" s="48" t="s">
        <v>103</v>
      </c>
      <c r="H23" s="104">
        <v>15</v>
      </c>
      <c r="I23" s="48" t="s">
        <v>69</v>
      </c>
    </row>
    <row r="24" spans="1:11" s="48" customFormat="1" ht="15.75" x14ac:dyDescent="0.25">
      <c r="A24" s="52" t="s">
        <v>121</v>
      </c>
      <c r="B24" s="111">
        <v>2</v>
      </c>
      <c r="C24" s="49"/>
      <c r="G24" s="48" t="s">
        <v>104</v>
      </c>
      <c r="H24" s="106">
        <v>40</v>
      </c>
    </row>
    <row r="25" spans="1:11" s="48" customFormat="1" ht="15.75" x14ac:dyDescent="0.25">
      <c r="A25" s="48" t="s">
        <v>64</v>
      </c>
      <c r="B25" s="110">
        <v>1</v>
      </c>
      <c r="C25" s="49"/>
      <c r="G25" s="48" t="s">
        <v>105</v>
      </c>
      <c r="H25" s="106">
        <v>52</v>
      </c>
    </row>
    <row r="26" spans="1:11" s="48" customFormat="1" ht="15.75" x14ac:dyDescent="0.25">
      <c r="A26" s="48" t="s">
        <v>122</v>
      </c>
      <c r="B26" s="51">
        <f>ROUNDUP(B23,0)*B24</f>
        <v>200</v>
      </c>
      <c r="C26" s="49"/>
      <c r="G26" s="48" t="s">
        <v>36</v>
      </c>
      <c r="H26" s="104">
        <v>0</v>
      </c>
      <c r="I26" s="48" t="s">
        <v>70</v>
      </c>
    </row>
    <row r="27" spans="1:11" s="48" customFormat="1" ht="15.75" x14ac:dyDescent="0.25">
      <c r="A27" s="48" t="s">
        <v>65</v>
      </c>
      <c r="B27" s="108">
        <v>0.9</v>
      </c>
      <c r="C27" s="49"/>
      <c r="G27" s="48" t="s">
        <v>113</v>
      </c>
      <c r="H27" s="104">
        <v>1000</v>
      </c>
      <c r="I27" s="48" t="s">
        <v>70</v>
      </c>
    </row>
    <row r="28" spans="1:11" s="48" customFormat="1" ht="30.75" x14ac:dyDescent="0.25">
      <c r="A28" s="48" t="s">
        <v>107</v>
      </c>
      <c r="B28" s="104">
        <v>25</v>
      </c>
      <c r="C28" s="49" t="s">
        <v>127</v>
      </c>
      <c r="G28" s="48" t="s">
        <v>114</v>
      </c>
      <c r="H28" s="104">
        <v>0</v>
      </c>
      <c r="I28" s="48" t="s">
        <v>70</v>
      </c>
    </row>
    <row r="29" spans="1:11" s="48" customFormat="1" ht="15.75" x14ac:dyDescent="0.25">
      <c r="A29" s="48" t="s">
        <v>66</v>
      </c>
      <c r="B29" s="104">
        <v>5000</v>
      </c>
      <c r="C29" s="49"/>
      <c r="G29" s="48" t="s">
        <v>71</v>
      </c>
      <c r="H29" s="107">
        <v>0</v>
      </c>
    </row>
    <row r="30" spans="1:11" s="48" customFormat="1" ht="15.75" x14ac:dyDescent="0.25">
      <c r="B30" s="52"/>
      <c r="C30" s="49"/>
      <c r="G30" s="48" t="s">
        <v>19</v>
      </c>
      <c r="H30" s="108">
        <v>0.05</v>
      </c>
    </row>
    <row r="31" spans="1:11" s="48" customFormat="1" ht="15.75" x14ac:dyDescent="0.25">
      <c r="A31" s="47" t="s">
        <v>38</v>
      </c>
      <c r="B31" s="52"/>
      <c r="C31" s="49"/>
      <c r="G31" s="48" t="s">
        <v>72</v>
      </c>
      <c r="H31" s="108">
        <v>7.0000000000000007E-2</v>
      </c>
    </row>
    <row r="32" spans="1:11" s="48" customFormat="1" ht="15.75" x14ac:dyDescent="0.25">
      <c r="A32" s="48" t="s">
        <v>126</v>
      </c>
      <c r="B32" s="108">
        <v>1</v>
      </c>
      <c r="C32" s="49"/>
      <c r="G32" s="48" t="s">
        <v>42</v>
      </c>
      <c r="H32" s="107">
        <v>2400</v>
      </c>
    </row>
    <row r="33" spans="1:9" s="48" customFormat="1" ht="15.75" x14ac:dyDescent="0.25">
      <c r="B33" s="112"/>
      <c r="C33" s="49"/>
      <c r="G33" s="47" t="s">
        <v>40</v>
      </c>
    </row>
    <row r="34" spans="1:9" s="48" customFormat="1" ht="15.75" x14ac:dyDescent="0.25">
      <c r="A34" s="48" t="s">
        <v>73</v>
      </c>
      <c r="B34" s="104">
        <v>0.5</v>
      </c>
      <c r="C34" s="49" t="s">
        <v>74</v>
      </c>
      <c r="G34" s="48" t="s">
        <v>109</v>
      </c>
      <c r="H34" s="54">
        <f>B23*B22</f>
        <v>200</v>
      </c>
    </row>
    <row r="35" spans="1:9" s="48" customFormat="1" ht="15.75" x14ac:dyDescent="0.25">
      <c r="B35" s="104"/>
      <c r="C35" s="49"/>
    </row>
    <row r="36" spans="1:9" s="48" customFormat="1" ht="15.75" x14ac:dyDescent="0.25">
      <c r="A36" s="48" t="s">
        <v>17</v>
      </c>
      <c r="B36" s="110">
        <v>100</v>
      </c>
      <c r="C36" s="49" t="s">
        <v>76</v>
      </c>
      <c r="G36" s="48" t="s">
        <v>75</v>
      </c>
      <c r="H36" s="55">
        <f>B19</f>
        <v>200000</v>
      </c>
    </row>
    <row r="37" spans="1:9" s="48" customFormat="1" ht="15" customHeight="1" x14ac:dyDescent="0.25">
      <c r="A37" s="48" t="s">
        <v>77</v>
      </c>
      <c r="B37" s="104">
        <v>1</v>
      </c>
      <c r="C37" s="49" t="s">
        <v>78</v>
      </c>
      <c r="H37" s="55"/>
    </row>
    <row r="38" spans="1:9" s="48" customFormat="1" ht="15.75" x14ac:dyDescent="0.25">
      <c r="A38" s="48" t="s">
        <v>18</v>
      </c>
      <c r="B38" s="104">
        <v>2000</v>
      </c>
      <c r="C38" s="49" t="s">
        <v>70</v>
      </c>
      <c r="G38" s="48" t="s">
        <v>110</v>
      </c>
      <c r="H38" s="55">
        <f>B26</f>
        <v>200</v>
      </c>
    </row>
    <row r="39" spans="1:9" s="48" customFormat="1" x14ac:dyDescent="0.2">
      <c r="C39" s="49"/>
      <c r="G39" s="48" t="s">
        <v>79</v>
      </c>
      <c r="H39" s="56">
        <f>B23*B20</f>
        <v>60000</v>
      </c>
    </row>
    <row r="40" spans="1:9" s="48" customFormat="1" x14ac:dyDescent="0.2">
      <c r="C40" s="49"/>
      <c r="H40" s="57"/>
    </row>
    <row r="41" spans="1:9" s="48" customFormat="1" x14ac:dyDescent="0.2">
      <c r="C41" s="49"/>
      <c r="G41" s="48" t="s">
        <v>35</v>
      </c>
      <c r="H41" s="58">
        <f>H42/(B22*B24)</f>
        <v>55555.555555555555</v>
      </c>
      <c r="I41" s="48" t="s">
        <v>118</v>
      </c>
    </row>
    <row r="42" spans="1:9" s="48" customFormat="1" x14ac:dyDescent="0.2">
      <c r="C42" s="49"/>
      <c r="G42" s="48" t="s">
        <v>119</v>
      </c>
      <c r="H42" s="59">
        <f>B19/B27</f>
        <v>222222.22222222222</v>
      </c>
      <c r="I42" s="48" t="s">
        <v>80</v>
      </c>
    </row>
    <row r="43" spans="1:9" x14ac:dyDescent="0.25">
      <c r="H43" s="45"/>
    </row>
    <row r="46" spans="1:9" s="118" customFormat="1" x14ac:dyDescent="0.25">
      <c r="A46" s="119" t="s">
        <v>137</v>
      </c>
    </row>
    <row r="54" spans="2:2" x14ac:dyDescent="0.25">
      <c r="B54" s="1"/>
    </row>
  </sheetData>
  <sheetProtection algorithmName="SHA-512" hashValue="udTdwCxM+B4suKNSpwD0qDri/PF39qgUDUti5WqMogRMOSx6NIJR3bpLzPXrDbIyL53wni3i7AKZaDMZpEZeXw==" saltValue="Y70gMP2z3uL1r4FEICMTsA==" spinCount="100000" sheet="1" objects="1" scenarios="1" selectLockedCells="1"/>
  <printOptions headings="1" gridLines="1"/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I28"/>
  <sheetViews>
    <sheetView showGridLines="0" workbookViewId="0">
      <selection activeCell="B11" sqref="B11"/>
    </sheetView>
  </sheetViews>
  <sheetFormatPr defaultRowHeight="15" x14ac:dyDescent="0.2"/>
  <cols>
    <col min="1" max="1" width="36.28515625" style="48" bestFit="1" customWidth="1"/>
    <col min="2" max="2" width="10.28515625" style="48" customWidth="1"/>
    <col min="3" max="3" width="8.5703125" style="98" customWidth="1"/>
    <col min="4" max="4" width="11.5703125" style="48" bestFit="1" customWidth="1"/>
    <col min="5" max="5" width="12.28515625" style="48" bestFit="1" customWidth="1"/>
    <col min="6" max="6" width="15.7109375" style="48" hidden="1" customWidth="1"/>
    <col min="7" max="7" width="12.85546875" style="48" hidden="1" customWidth="1"/>
    <col min="8" max="8" width="14.42578125" style="48" hidden="1" customWidth="1"/>
    <col min="9" max="9" width="20.42578125" style="48" hidden="1" customWidth="1"/>
    <col min="10" max="16384" width="9.140625" style="48"/>
  </cols>
  <sheetData>
    <row r="1" spans="1:9" ht="15.75" x14ac:dyDescent="0.25">
      <c r="A1" s="47" t="s">
        <v>43</v>
      </c>
    </row>
    <row r="2" spans="1:9" s="60" customFormat="1" ht="78.75" x14ac:dyDescent="0.25">
      <c r="A2" s="60" t="s">
        <v>57</v>
      </c>
      <c r="B2" s="60" t="s">
        <v>47</v>
      </c>
      <c r="C2" s="99" t="s">
        <v>44</v>
      </c>
      <c r="D2" s="61" t="s">
        <v>81</v>
      </c>
      <c r="E2" s="61" t="s">
        <v>9</v>
      </c>
      <c r="F2" s="61" t="s">
        <v>10</v>
      </c>
      <c r="G2" s="61" t="s">
        <v>1</v>
      </c>
      <c r="H2" s="61" t="s">
        <v>82</v>
      </c>
      <c r="I2" s="61" t="s">
        <v>11</v>
      </c>
    </row>
    <row r="3" spans="1:9" ht="15.75" x14ac:dyDescent="0.25">
      <c r="A3" s="48" t="s">
        <v>55</v>
      </c>
      <c r="B3" s="113">
        <v>1</v>
      </c>
      <c r="C3" s="100" t="s">
        <v>83</v>
      </c>
      <c r="D3" s="107">
        <v>10000</v>
      </c>
      <c r="E3" s="62">
        <f t="shared" ref="E3:E12" si="0">B3*D3</f>
        <v>10000</v>
      </c>
      <c r="F3" s="63">
        <v>12</v>
      </c>
      <c r="G3" s="63">
        <v>0</v>
      </c>
      <c r="H3" s="64">
        <v>1</v>
      </c>
      <c r="I3" s="62">
        <f>((E3-G3)/F3)*H3</f>
        <v>833.33333333333337</v>
      </c>
    </row>
    <row r="4" spans="1:9" ht="15.75" x14ac:dyDescent="0.25">
      <c r="A4" s="48" t="s">
        <v>84</v>
      </c>
      <c r="B4" s="113">
        <v>10</v>
      </c>
      <c r="C4" s="100" t="s">
        <v>83</v>
      </c>
      <c r="D4" s="107">
        <v>20</v>
      </c>
      <c r="E4" s="62">
        <f t="shared" si="0"/>
        <v>200</v>
      </c>
      <c r="F4" s="63">
        <v>3</v>
      </c>
      <c r="G4" s="63">
        <v>0</v>
      </c>
      <c r="H4" s="64">
        <v>1</v>
      </c>
      <c r="I4" s="62">
        <f t="shared" ref="I4:I10" si="1">((E4-G4)/F4)*H4</f>
        <v>66.666666666666671</v>
      </c>
    </row>
    <row r="5" spans="1:9" ht="15.75" x14ac:dyDescent="0.25">
      <c r="A5" s="48" t="s">
        <v>5</v>
      </c>
      <c r="B5" s="113">
        <v>1</v>
      </c>
      <c r="C5" s="100" t="s">
        <v>83</v>
      </c>
      <c r="D5" s="107">
        <v>15000</v>
      </c>
      <c r="E5" s="62">
        <f t="shared" si="0"/>
        <v>15000</v>
      </c>
      <c r="F5" s="63">
        <v>12</v>
      </c>
      <c r="G5" s="63">
        <v>0</v>
      </c>
      <c r="H5" s="64">
        <v>1</v>
      </c>
      <c r="I5" s="62">
        <f t="shared" si="1"/>
        <v>1250</v>
      </c>
    </row>
    <row r="6" spans="1:9" ht="15.75" x14ac:dyDescent="0.25">
      <c r="A6" s="48" t="s">
        <v>123</v>
      </c>
      <c r="B6" s="113">
        <f>Inputs!H34</f>
        <v>200</v>
      </c>
      <c r="C6" s="100" t="s">
        <v>83</v>
      </c>
      <c r="D6" s="107">
        <v>184</v>
      </c>
      <c r="E6" s="62">
        <f t="shared" si="0"/>
        <v>36800</v>
      </c>
      <c r="F6" s="63">
        <v>7</v>
      </c>
      <c r="G6" s="63">
        <v>0</v>
      </c>
      <c r="H6" s="64">
        <v>1</v>
      </c>
      <c r="I6" s="62">
        <f t="shared" si="1"/>
        <v>5257.1428571428569</v>
      </c>
    </row>
    <row r="7" spans="1:9" ht="15.75" x14ac:dyDescent="0.25">
      <c r="A7" s="48" t="s">
        <v>135</v>
      </c>
      <c r="B7" s="113">
        <v>1200</v>
      </c>
      <c r="C7" s="100" t="s">
        <v>83</v>
      </c>
      <c r="D7" s="107">
        <v>10</v>
      </c>
      <c r="E7" s="62">
        <f t="shared" si="0"/>
        <v>12000</v>
      </c>
      <c r="F7" s="63">
        <v>4</v>
      </c>
      <c r="G7" s="63">
        <v>0</v>
      </c>
      <c r="H7" s="64">
        <v>1</v>
      </c>
      <c r="I7" s="62">
        <f t="shared" si="1"/>
        <v>3000</v>
      </c>
    </row>
    <row r="8" spans="1:9" ht="15.75" x14ac:dyDescent="0.25">
      <c r="A8" s="48" t="s">
        <v>134</v>
      </c>
      <c r="B8" s="113">
        <v>10</v>
      </c>
      <c r="C8" s="100" t="s">
        <v>83</v>
      </c>
      <c r="D8" s="107">
        <v>500</v>
      </c>
      <c r="E8" s="62">
        <f t="shared" si="0"/>
        <v>5000</v>
      </c>
      <c r="F8" s="63">
        <v>7</v>
      </c>
      <c r="G8" s="63">
        <v>0</v>
      </c>
      <c r="H8" s="64">
        <v>1</v>
      </c>
      <c r="I8" s="62">
        <f t="shared" si="1"/>
        <v>714.28571428571433</v>
      </c>
    </row>
    <row r="9" spans="1:9" ht="15.75" x14ac:dyDescent="0.25">
      <c r="A9" s="48" t="s">
        <v>115</v>
      </c>
      <c r="B9" s="113">
        <v>1</v>
      </c>
      <c r="C9" s="100" t="s">
        <v>83</v>
      </c>
      <c r="D9" s="107">
        <v>300</v>
      </c>
      <c r="E9" s="62">
        <f>B9*D9</f>
        <v>300</v>
      </c>
      <c r="F9" s="63">
        <v>6</v>
      </c>
      <c r="G9" s="63">
        <v>0</v>
      </c>
      <c r="H9" s="64">
        <v>1</v>
      </c>
      <c r="I9" s="62">
        <f t="shared" si="1"/>
        <v>50</v>
      </c>
    </row>
    <row r="10" spans="1:9" ht="15.75" x14ac:dyDescent="0.25">
      <c r="A10" s="48" t="s">
        <v>112</v>
      </c>
      <c r="B10" s="113">
        <v>1</v>
      </c>
      <c r="C10" s="100" t="s">
        <v>83</v>
      </c>
      <c r="D10" s="107">
        <v>500</v>
      </c>
      <c r="E10" s="62">
        <f t="shared" si="0"/>
        <v>500</v>
      </c>
      <c r="F10" s="63">
        <v>12</v>
      </c>
      <c r="G10" s="63">
        <v>0</v>
      </c>
      <c r="H10" s="64">
        <v>1</v>
      </c>
      <c r="I10" s="62">
        <f t="shared" si="1"/>
        <v>41.666666666666664</v>
      </c>
    </row>
    <row r="11" spans="1:9" x14ac:dyDescent="0.2">
      <c r="B11" s="114"/>
      <c r="D11" s="114"/>
      <c r="E11" s="62">
        <f t="shared" si="0"/>
        <v>0</v>
      </c>
      <c r="I11" s="62"/>
    </row>
    <row r="12" spans="1:9" x14ac:dyDescent="0.2">
      <c r="B12" s="114"/>
      <c r="D12" s="114"/>
      <c r="E12" s="62">
        <f t="shared" si="0"/>
        <v>0</v>
      </c>
      <c r="I12" s="62"/>
    </row>
    <row r="13" spans="1:9" s="47" customFormat="1" ht="15.75" x14ac:dyDescent="0.25">
      <c r="A13" s="47" t="s">
        <v>59</v>
      </c>
      <c r="B13" s="115"/>
      <c r="C13" s="97"/>
      <c r="D13" s="115"/>
      <c r="E13" s="65">
        <f>SUM(E3:E12)</f>
        <v>79800</v>
      </c>
      <c r="I13" s="65">
        <f>SUM(I3:I12)</f>
        <v>11213.095238095237</v>
      </c>
    </row>
    <row r="14" spans="1:9" x14ac:dyDescent="0.2">
      <c r="B14" s="114"/>
      <c r="D14" s="114"/>
    </row>
    <row r="15" spans="1:9" ht="78.75" x14ac:dyDescent="0.25">
      <c r="A15" s="60" t="s">
        <v>58</v>
      </c>
      <c r="B15" s="116" t="s">
        <v>47</v>
      </c>
      <c r="C15" s="99" t="s">
        <v>44</v>
      </c>
      <c r="D15" s="117" t="s">
        <v>81</v>
      </c>
      <c r="E15" s="61" t="s">
        <v>9</v>
      </c>
      <c r="F15" s="61" t="s">
        <v>10</v>
      </c>
      <c r="G15" s="61" t="s">
        <v>1</v>
      </c>
      <c r="H15" s="61" t="s">
        <v>82</v>
      </c>
      <c r="I15" s="61" t="s">
        <v>11</v>
      </c>
    </row>
    <row r="16" spans="1:9" ht="15.75" x14ac:dyDescent="0.25">
      <c r="A16" s="48" t="s">
        <v>41</v>
      </c>
      <c r="B16" s="113">
        <v>0</v>
      </c>
      <c r="C16" s="100" t="s">
        <v>83</v>
      </c>
      <c r="D16" s="107">
        <v>5000</v>
      </c>
      <c r="E16" s="62">
        <f>B16*D16</f>
        <v>0</v>
      </c>
      <c r="F16" s="63">
        <v>12</v>
      </c>
      <c r="G16" s="63">
        <v>0</v>
      </c>
      <c r="H16" s="64">
        <v>1</v>
      </c>
      <c r="I16" s="62">
        <f>((E16-G16)/F16)*H16</f>
        <v>0</v>
      </c>
    </row>
    <row r="17" spans="1:9" ht="15.75" x14ac:dyDescent="0.25">
      <c r="A17" s="48" t="s">
        <v>56</v>
      </c>
      <c r="B17" s="113">
        <v>0</v>
      </c>
      <c r="C17" s="100" t="s">
        <v>83</v>
      </c>
      <c r="D17" s="107">
        <v>12000</v>
      </c>
      <c r="E17" s="62">
        <f t="shared" ref="E17:E25" si="2">B17*D17</f>
        <v>0</v>
      </c>
      <c r="F17" s="63">
        <v>12</v>
      </c>
      <c r="G17" s="63">
        <v>0</v>
      </c>
      <c r="H17" s="64">
        <v>1</v>
      </c>
      <c r="I17" s="62">
        <f t="shared" ref="I17:I20" si="3">((E17-G17)/F17)*H17</f>
        <v>0</v>
      </c>
    </row>
    <row r="18" spans="1:9" ht="15.75" x14ac:dyDescent="0.25">
      <c r="A18" s="48" t="s">
        <v>2</v>
      </c>
      <c r="B18" s="113">
        <v>0</v>
      </c>
      <c r="C18" s="100" t="s">
        <v>83</v>
      </c>
      <c r="D18" s="107">
        <v>10000</v>
      </c>
      <c r="E18" s="62">
        <f t="shared" si="2"/>
        <v>0</v>
      </c>
      <c r="F18" s="63">
        <v>12</v>
      </c>
      <c r="G18" s="63">
        <v>0</v>
      </c>
      <c r="H18" s="64">
        <v>1</v>
      </c>
      <c r="I18" s="62">
        <f t="shared" si="3"/>
        <v>0</v>
      </c>
    </row>
    <row r="19" spans="1:9" ht="15.75" x14ac:dyDescent="0.25">
      <c r="A19" s="48" t="s">
        <v>3</v>
      </c>
      <c r="B19" s="113">
        <v>0</v>
      </c>
      <c r="C19" s="100" t="s">
        <v>83</v>
      </c>
      <c r="D19" s="107">
        <v>12000</v>
      </c>
      <c r="E19" s="62">
        <f t="shared" si="2"/>
        <v>0</v>
      </c>
      <c r="F19" s="63">
        <v>12</v>
      </c>
      <c r="G19" s="63">
        <v>0</v>
      </c>
      <c r="H19" s="64">
        <v>1</v>
      </c>
      <c r="I19" s="62">
        <f t="shared" si="3"/>
        <v>0</v>
      </c>
    </row>
    <row r="20" spans="1:9" ht="15.75" x14ac:dyDescent="0.25">
      <c r="A20" s="48" t="s">
        <v>4</v>
      </c>
      <c r="B20" s="113">
        <v>1</v>
      </c>
      <c r="C20" s="100" t="s">
        <v>83</v>
      </c>
      <c r="D20" s="107">
        <v>100</v>
      </c>
      <c r="E20" s="62">
        <f t="shared" si="2"/>
        <v>100</v>
      </c>
      <c r="F20" s="63">
        <v>12</v>
      </c>
      <c r="G20" s="63">
        <v>0</v>
      </c>
      <c r="H20" s="64">
        <v>1</v>
      </c>
      <c r="I20" s="62">
        <f t="shared" si="3"/>
        <v>8.3333333333333339</v>
      </c>
    </row>
    <row r="21" spans="1:9" ht="15.75" x14ac:dyDescent="0.25">
      <c r="A21" s="52"/>
      <c r="B21" s="101"/>
      <c r="C21" s="100"/>
      <c r="D21" s="96"/>
      <c r="E21" s="62">
        <f t="shared" si="2"/>
        <v>0</v>
      </c>
      <c r="F21" s="63"/>
      <c r="G21" s="63"/>
      <c r="H21" s="64"/>
      <c r="I21" s="62"/>
    </row>
    <row r="22" spans="1:9" ht="15.75" x14ac:dyDescent="0.25">
      <c r="A22" s="52"/>
      <c r="B22" s="101"/>
      <c r="C22" s="100"/>
      <c r="D22" s="96"/>
      <c r="E22" s="62">
        <f t="shared" si="2"/>
        <v>0</v>
      </c>
      <c r="F22" s="63"/>
      <c r="G22" s="63"/>
      <c r="H22" s="64"/>
      <c r="I22" s="62"/>
    </row>
    <row r="23" spans="1:9" ht="15.75" x14ac:dyDescent="0.25">
      <c r="B23" s="101"/>
      <c r="C23" s="100"/>
      <c r="D23" s="96"/>
      <c r="E23" s="62">
        <f t="shared" si="2"/>
        <v>0</v>
      </c>
      <c r="F23" s="63"/>
      <c r="G23" s="63"/>
      <c r="H23" s="64"/>
      <c r="I23" s="62"/>
    </row>
    <row r="24" spans="1:9" x14ac:dyDescent="0.2">
      <c r="E24" s="62">
        <f t="shared" si="2"/>
        <v>0</v>
      </c>
      <c r="I24" s="62"/>
    </row>
    <row r="25" spans="1:9" x14ac:dyDescent="0.2">
      <c r="E25" s="62">
        <f t="shared" si="2"/>
        <v>0</v>
      </c>
      <c r="I25" s="62"/>
    </row>
    <row r="26" spans="1:9" ht="15.75" x14ac:dyDescent="0.25">
      <c r="A26" s="47" t="s">
        <v>60</v>
      </c>
      <c r="B26" s="47"/>
      <c r="C26" s="97"/>
      <c r="D26" s="47"/>
      <c r="E26" s="66">
        <f>SUM(E16:E25)</f>
        <v>100</v>
      </c>
      <c r="F26" s="47"/>
      <c r="G26" s="47"/>
      <c r="H26" s="47"/>
      <c r="I26" s="66">
        <f>SUM(I16:I25)</f>
        <v>8.3333333333333339</v>
      </c>
    </row>
    <row r="28" spans="1:9" ht="15.75" x14ac:dyDescent="0.25">
      <c r="A28" s="47" t="s">
        <v>61</v>
      </c>
      <c r="B28" s="47"/>
      <c r="C28" s="97"/>
      <c r="D28" s="47"/>
      <c r="E28" s="66">
        <f>E13+E26</f>
        <v>79900</v>
      </c>
      <c r="F28" s="47"/>
      <c r="G28" s="47"/>
      <c r="H28" s="47"/>
      <c r="I28" s="66">
        <f>I13+I26</f>
        <v>11221.428571428571</v>
      </c>
    </row>
  </sheetData>
  <sheetProtection algorithmName="SHA-512" hashValue="0h5hUguoZOLxTogupFY2RfnigpgS7+l+o/bgyBZhn2sPh4R2H1c4DbttUUN2uyb34QevSop4Q+o1elXYuL89NA==" saltValue="P4vV+HC+g7VyxUqIOmMSpQ==" spinCount="100000" sheet="1" objects="1" scenarios="1" selectLockedCells="1"/>
  <printOptions headings="1" gridLines="1"/>
  <pageMargins left="0.7" right="0.7" top="0.75" bottom="0.75" header="0.3" footer="0.3"/>
  <pageSetup scale="9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4:J52"/>
  <sheetViews>
    <sheetView showGridLines="0" topLeftCell="A27" zoomScaleNormal="100" workbookViewId="0">
      <selection activeCell="A25" sqref="A25"/>
    </sheetView>
  </sheetViews>
  <sheetFormatPr defaultRowHeight="15" x14ac:dyDescent="0.2"/>
  <cols>
    <col min="1" max="1" width="6" style="48" customWidth="1"/>
    <col min="2" max="2" width="21" style="48" customWidth="1"/>
    <col min="3" max="3" width="16" style="68" customWidth="1"/>
    <col min="4" max="5" width="13.5703125" style="48" customWidth="1"/>
    <col min="6" max="6" width="14.28515625" style="62" bestFit="1" customWidth="1"/>
    <col min="7" max="8" width="13.5703125" style="48" customWidth="1"/>
    <col min="9" max="9" width="13.5703125" style="68" customWidth="1"/>
    <col min="10" max="16384" width="9.140625" style="48"/>
  </cols>
  <sheetData>
    <row r="4" spans="1:6" ht="23.25" x14ac:dyDescent="0.35">
      <c r="C4" s="102" t="s">
        <v>128</v>
      </c>
    </row>
    <row r="5" spans="1:6" ht="15.75" x14ac:dyDescent="0.25">
      <c r="A5" s="47"/>
    </row>
    <row r="6" spans="1:6" x14ac:dyDescent="0.2">
      <c r="A6" s="48" t="s">
        <v>131</v>
      </c>
    </row>
    <row r="7" spans="1:6" x14ac:dyDescent="0.2">
      <c r="A7" s="48" t="s">
        <v>132</v>
      </c>
    </row>
    <row r="8" spans="1:6" ht="15.75" x14ac:dyDescent="0.25">
      <c r="A8" s="48" t="s">
        <v>133</v>
      </c>
      <c r="E8" s="69">
        <f>Inputs!B25</f>
        <v>1</v>
      </c>
    </row>
    <row r="10" spans="1:6" ht="15.75" x14ac:dyDescent="0.25">
      <c r="A10" s="47" t="s">
        <v>51</v>
      </c>
    </row>
    <row r="11" spans="1:6" x14ac:dyDescent="0.2">
      <c r="A11" s="70" t="s">
        <v>0</v>
      </c>
      <c r="B11" s="70"/>
      <c r="C11" s="71" t="s">
        <v>8</v>
      </c>
      <c r="D11" s="71" t="s">
        <v>44</v>
      </c>
      <c r="E11" s="71" t="s">
        <v>85</v>
      </c>
      <c r="F11" s="72" t="s">
        <v>13</v>
      </c>
    </row>
    <row r="12" spans="1:6" x14ac:dyDescent="0.2">
      <c r="A12" s="48" t="s">
        <v>86</v>
      </c>
      <c r="C12" s="73">
        <f>Inputs!H36*Inputs!B32</f>
        <v>200000</v>
      </c>
      <c r="D12" s="74" t="s">
        <v>83</v>
      </c>
      <c r="E12" s="75">
        <f>Inputs!B34</f>
        <v>0.5</v>
      </c>
      <c r="F12" s="62">
        <f>E12*C12</f>
        <v>100000</v>
      </c>
    </row>
    <row r="13" spans="1:6" x14ac:dyDescent="0.2">
      <c r="C13" s="73"/>
      <c r="D13" s="74"/>
      <c r="E13" s="76"/>
    </row>
    <row r="14" spans="1:6" x14ac:dyDescent="0.2">
      <c r="A14" s="48" t="s">
        <v>14</v>
      </c>
      <c r="D14" s="74"/>
    </row>
    <row r="15" spans="1:6" ht="15.75" x14ac:dyDescent="0.25">
      <c r="A15" s="47" t="s">
        <v>52</v>
      </c>
      <c r="B15" s="47"/>
      <c r="C15" s="77"/>
      <c r="D15" s="78"/>
      <c r="E15" s="47"/>
      <c r="F15" s="65">
        <f>SUM(F12:F14)</f>
        <v>100000</v>
      </c>
    </row>
    <row r="17" spans="1:9" ht="15.75" x14ac:dyDescent="0.25">
      <c r="A17" s="47" t="s">
        <v>15</v>
      </c>
      <c r="B17" s="47"/>
    </row>
    <row r="18" spans="1:9" s="60" customFormat="1" ht="45.75" x14ac:dyDescent="0.25">
      <c r="A18" s="120" t="s">
        <v>0</v>
      </c>
      <c r="B18" s="120"/>
      <c r="C18" s="79" t="s">
        <v>8</v>
      </c>
      <c r="D18" s="79" t="s">
        <v>44</v>
      </c>
      <c r="E18" s="79" t="s">
        <v>85</v>
      </c>
      <c r="F18" s="80" t="s">
        <v>13</v>
      </c>
      <c r="G18" s="79" t="s">
        <v>87</v>
      </c>
      <c r="H18" s="79"/>
      <c r="I18" s="79" t="s">
        <v>89</v>
      </c>
    </row>
    <row r="19" spans="1:9" x14ac:dyDescent="0.2">
      <c r="A19" s="48" t="s">
        <v>120</v>
      </c>
      <c r="C19" s="81">
        <f>Inputs!H42/1000</f>
        <v>222.22222222222223</v>
      </c>
      <c r="D19" s="74" t="s">
        <v>93</v>
      </c>
      <c r="E19" s="82">
        <f>Inputs!B28</f>
        <v>25</v>
      </c>
      <c r="F19" s="62">
        <f>C19*E19</f>
        <v>5555.5555555555557</v>
      </c>
      <c r="G19" s="75">
        <f>F19/Inputs!$H$36</f>
        <v>2.777777777777778E-2</v>
      </c>
      <c r="H19" s="75"/>
      <c r="I19" s="83">
        <f t="shared" ref="I19:I33" si="0">F19/$F$45</f>
        <v>7.1058270827432962E-2</v>
      </c>
    </row>
    <row r="20" spans="1:9" x14ac:dyDescent="0.2">
      <c r="A20" s="48" t="s">
        <v>7</v>
      </c>
      <c r="D20" s="74"/>
      <c r="E20" s="82"/>
      <c r="G20" s="75"/>
      <c r="H20" s="75"/>
      <c r="I20" s="83">
        <f t="shared" si="0"/>
        <v>0</v>
      </c>
    </row>
    <row r="21" spans="1:9" x14ac:dyDescent="0.2">
      <c r="B21" s="48" t="s">
        <v>106</v>
      </c>
      <c r="C21" s="84">
        <f>Inputs!H21*Inputs!H22</f>
        <v>780</v>
      </c>
      <c r="D21" s="74" t="s">
        <v>69</v>
      </c>
      <c r="E21" s="82">
        <f>Inputs!H20</f>
        <v>10</v>
      </c>
      <c r="F21" s="62">
        <f t="shared" ref="F21:F25" si="1">C21*E21</f>
        <v>7800</v>
      </c>
      <c r="G21" s="75">
        <f>F21/Inputs!$H$36</f>
        <v>3.9E-2</v>
      </c>
      <c r="H21" s="75"/>
      <c r="I21" s="83">
        <f t="shared" si="0"/>
        <v>9.9765812241715879E-2</v>
      </c>
    </row>
    <row r="22" spans="1:9" x14ac:dyDescent="0.2">
      <c r="B22" s="48" t="s">
        <v>125</v>
      </c>
      <c r="C22" s="85">
        <f>Inputs!H24*Inputs!H25</f>
        <v>2080</v>
      </c>
      <c r="D22" s="74" t="s">
        <v>69</v>
      </c>
      <c r="E22" s="76">
        <f>Inputs!H23</f>
        <v>15</v>
      </c>
      <c r="F22" s="82">
        <f>E22*C22</f>
        <v>31200</v>
      </c>
      <c r="G22" s="75">
        <f>F22/Inputs!$H$36</f>
        <v>0.156</v>
      </c>
      <c r="H22" s="75"/>
      <c r="I22" s="83">
        <f t="shared" si="0"/>
        <v>0.39906324896686352</v>
      </c>
    </row>
    <row r="23" spans="1:9" x14ac:dyDescent="0.2">
      <c r="A23" s="48" t="s">
        <v>6</v>
      </c>
      <c r="C23" s="85"/>
      <c r="D23" s="74" t="s">
        <v>70</v>
      </c>
      <c r="E23" s="82"/>
      <c r="F23" s="62">
        <f>Inputs!B29</f>
        <v>5000</v>
      </c>
      <c r="G23" s="75">
        <f>F23/Inputs!$H$36</f>
        <v>2.5000000000000001E-2</v>
      </c>
      <c r="H23" s="75"/>
      <c r="I23" s="83">
        <f t="shared" si="0"/>
        <v>6.3952443744689669E-2</v>
      </c>
    </row>
    <row r="24" spans="1:9" x14ac:dyDescent="0.2">
      <c r="A24" s="48" t="s">
        <v>16</v>
      </c>
      <c r="D24" s="74" t="s">
        <v>70</v>
      </c>
      <c r="F24" s="86">
        <f>Inputs!H26</f>
        <v>0</v>
      </c>
      <c r="G24" s="75">
        <f>F24/Inputs!$H$36</f>
        <v>0</v>
      </c>
      <c r="H24" s="75"/>
      <c r="I24" s="83">
        <f t="shared" si="0"/>
        <v>0</v>
      </c>
    </row>
    <row r="25" spans="1:9" x14ac:dyDescent="0.2">
      <c r="A25" s="48" t="s">
        <v>136</v>
      </c>
      <c r="C25" s="73">
        <f>ROUNDUP((C12/Inputs!B36),0)</f>
        <v>2000</v>
      </c>
      <c r="D25" s="74" t="s">
        <v>94</v>
      </c>
      <c r="E25" s="82">
        <f>Inputs!B37</f>
        <v>1</v>
      </c>
      <c r="F25" s="62">
        <f t="shared" si="1"/>
        <v>2000</v>
      </c>
      <c r="G25" s="75">
        <f>F25/Inputs!$H$36</f>
        <v>0.01</v>
      </c>
      <c r="H25" s="75"/>
      <c r="I25" s="83">
        <f t="shared" si="0"/>
        <v>2.5580977497875867E-2</v>
      </c>
    </row>
    <row r="26" spans="1:9" x14ac:dyDescent="0.2">
      <c r="A26" s="48" t="s">
        <v>18</v>
      </c>
      <c r="E26" s="82"/>
      <c r="F26" s="87">
        <f>Inputs!B38</f>
        <v>2000</v>
      </c>
      <c r="G26" s="75">
        <f>F26/Inputs!$H$36</f>
        <v>0.01</v>
      </c>
      <c r="H26" s="75"/>
      <c r="I26" s="83">
        <f t="shared" si="0"/>
        <v>2.5580977497875867E-2</v>
      </c>
    </row>
    <row r="27" spans="1:9" x14ac:dyDescent="0.2">
      <c r="A27" s="48" t="s">
        <v>14</v>
      </c>
      <c r="C27" s="88"/>
      <c r="G27" s="75">
        <f>F27/Inputs!$H$36</f>
        <v>0</v>
      </c>
      <c r="H27" s="75"/>
      <c r="I27" s="83">
        <f t="shared" si="0"/>
        <v>0</v>
      </c>
    </row>
    <row r="28" spans="1:9" x14ac:dyDescent="0.2">
      <c r="A28" s="48" t="s">
        <v>14</v>
      </c>
      <c r="C28" s="88"/>
      <c r="G28" s="75">
        <f>F28/Inputs!$H$36</f>
        <v>0</v>
      </c>
      <c r="H28" s="75"/>
      <c r="I28" s="83">
        <f t="shared" si="0"/>
        <v>0</v>
      </c>
    </row>
    <row r="29" spans="1:9" x14ac:dyDescent="0.2">
      <c r="A29" s="48" t="s">
        <v>14</v>
      </c>
      <c r="C29" s="88"/>
      <c r="G29" s="75">
        <f>F29/Inputs!$H$36</f>
        <v>0</v>
      </c>
      <c r="H29" s="75"/>
      <c r="I29" s="83">
        <f t="shared" si="0"/>
        <v>0</v>
      </c>
    </row>
    <row r="30" spans="1:9" x14ac:dyDescent="0.2">
      <c r="A30" s="48" t="s">
        <v>14</v>
      </c>
      <c r="C30" s="88"/>
      <c r="G30" s="75">
        <f>F30/Inputs!$H$36</f>
        <v>0</v>
      </c>
      <c r="H30" s="75"/>
      <c r="I30" s="83">
        <f t="shared" si="0"/>
        <v>0</v>
      </c>
    </row>
    <row r="31" spans="1:9" x14ac:dyDescent="0.2">
      <c r="A31" s="48" t="s">
        <v>19</v>
      </c>
      <c r="C31" s="88">
        <f>Inputs!H30</f>
        <v>0.05</v>
      </c>
      <c r="D31" s="48" t="s">
        <v>95</v>
      </c>
      <c r="F31" s="62">
        <f>C31*(SUM(F19:F30))</f>
        <v>2677.7777777777778</v>
      </c>
      <c r="G31" s="75">
        <f>F31/Inputs!$H$36</f>
        <v>1.3388888888888889E-2</v>
      </c>
      <c r="H31" s="75"/>
      <c r="I31" s="83">
        <f t="shared" si="0"/>
        <v>3.4250086538822687E-2</v>
      </c>
    </row>
    <row r="32" spans="1:9" x14ac:dyDescent="0.2">
      <c r="A32" s="48" t="s">
        <v>90</v>
      </c>
      <c r="F32" s="62">
        <f>Inputs!H31*(SUM(F19:F31))</f>
        <v>3936.3333333333339</v>
      </c>
      <c r="G32" s="75">
        <f>F32/Inputs!$H$36</f>
        <v>1.968166666666667E-2</v>
      </c>
      <c r="H32" s="75"/>
      <c r="I32" s="83">
        <f t="shared" si="0"/>
        <v>5.0347627212069354E-2</v>
      </c>
    </row>
    <row r="33" spans="1:10" ht="15.75" x14ac:dyDescent="0.25">
      <c r="A33" s="47" t="s">
        <v>53</v>
      </c>
      <c r="B33" s="47"/>
      <c r="C33" s="77"/>
      <c r="D33" s="47"/>
      <c r="E33" s="47"/>
      <c r="F33" s="65">
        <f>SUM(F19:F32)</f>
        <v>60169.666666666672</v>
      </c>
      <c r="G33" s="75">
        <f>F33/Inputs!$H$36</f>
        <v>0.30084833333333338</v>
      </c>
      <c r="H33" s="75"/>
      <c r="I33" s="83">
        <f t="shared" si="0"/>
        <v>0.76959944452734586</v>
      </c>
    </row>
    <row r="34" spans="1:10" x14ac:dyDescent="0.2">
      <c r="G34" s="76"/>
      <c r="H34" s="76"/>
      <c r="I34" s="83"/>
    </row>
    <row r="35" spans="1:10" ht="15.75" x14ac:dyDescent="0.25">
      <c r="A35" s="47" t="s">
        <v>25</v>
      </c>
      <c r="G35" s="76"/>
      <c r="H35" s="76"/>
      <c r="I35" s="83"/>
    </row>
    <row r="36" spans="1:10" s="47" customFormat="1" ht="45.75" x14ac:dyDescent="0.25">
      <c r="A36" s="120" t="s">
        <v>0</v>
      </c>
      <c r="B36" s="120"/>
      <c r="C36" s="79" t="s">
        <v>8</v>
      </c>
      <c r="D36" s="79" t="s">
        <v>44</v>
      </c>
      <c r="E36" s="79" t="s">
        <v>85</v>
      </c>
      <c r="F36" s="80" t="s">
        <v>13</v>
      </c>
      <c r="G36" s="79" t="s">
        <v>87</v>
      </c>
      <c r="H36" s="79"/>
      <c r="I36" s="89"/>
    </row>
    <row r="37" spans="1:10" x14ac:dyDescent="0.2">
      <c r="A37" s="48" t="s">
        <v>20</v>
      </c>
      <c r="C37" s="68">
        <v>1</v>
      </c>
      <c r="D37" s="48" t="s">
        <v>29</v>
      </c>
      <c r="E37" s="82"/>
      <c r="F37" s="87">
        <f>Inputs!H27+Inputs!H28</f>
        <v>1000</v>
      </c>
      <c r="G37" s="90">
        <f>F37/Inputs!$H$36</f>
        <v>5.0000000000000001E-3</v>
      </c>
      <c r="H37" s="75"/>
      <c r="I37" s="83">
        <f t="shared" ref="I37:I43" si="2">F37/$F$45</f>
        <v>1.2790488748937933E-2</v>
      </c>
      <c r="J37" s="76"/>
    </row>
    <row r="38" spans="1:10" x14ac:dyDescent="0.2">
      <c r="A38" s="48" t="s">
        <v>21</v>
      </c>
      <c r="C38" s="68">
        <f>Inputs!B22</f>
        <v>2</v>
      </c>
      <c r="D38" s="48" t="s">
        <v>68</v>
      </c>
      <c r="E38" s="76">
        <f>Inputs!H19</f>
        <v>100</v>
      </c>
      <c r="F38" s="62">
        <f>C38*E38</f>
        <v>200</v>
      </c>
      <c r="G38" s="90">
        <f>F38/Inputs!$H$36</f>
        <v>1E-3</v>
      </c>
      <c r="H38" s="75"/>
      <c r="I38" s="83">
        <f t="shared" si="2"/>
        <v>2.5580977497875867E-3</v>
      </c>
    </row>
    <row r="39" spans="1:10" x14ac:dyDescent="0.2">
      <c r="A39" s="48" t="s">
        <v>22</v>
      </c>
      <c r="F39" s="87">
        <f>Inputs!H29</f>
        <v>0</v>
      </c>
      <c r="G39" s="75">
        <f>F39/Inputs!$H$36</f>
        <v>0</v>
      </c>
      <c r="H39" s="75"/>
      <c r="I39" s="83">
        <f t="shared" si="2"/>
        <v>0</v>
      </c>
    </row>
    <row r="40" spans="1:10" x14ac:dyDescent="0.2">
      <c r="A40" s="48" t="s">
        <v>111</v>
      </c>
      <c r="F40" s="62">
        <f>0.04*'Start Up Capital Cost'!E13</f>
        <v>3192</v>
      </c>
      <c r="G40" s="90">
        <f>F40/Inputs!$H$36</f>
        <v>1.5959999999999998E-2</v>
      </c>
      <c r="H40" s="75"/>
      <c r="I40" s="83">
        <f t="shared" si="2"/>
        <v>4.082724008660988E-2</v>
      </c>
    </row>
    <row r="41" spans="1:10" x14ac:dyDescent="0.2">
      <c r="A41" s="48" t="s">
        <v>24</v>
      </c>
      <c r="F41" s="87">
        <f>Inputs!H32</f>
        <v>2400</v>
      </c>
      <c r="G41" s="90">
        <f>F41/Inputs!$H$36</f>
        <v>1.2E-2</v>
      </c>
      <c r="H41" s="75"/>
      <c r="I41" s="83">
        <f t="shared" si="2"/>
        <v>3.069717299745104E-2</v>
      </c>
    </row>
    <row r="42" spans="1:10" x14ac:dyDescent="0.2">
      <c r="A42" s="48" t="s">
        <v>23</v>
      </c>
      <c r="F42" s="62">
        <f>'Start Up Capital Cost'!I28</f>
        <v>11221.428571428571</v>
      </c>
      <c r="G42" s="90">
        <f>F42/Inputs!$H$36</f>
        <v>5.6107142857142855E-2</v>
      </c>
      <c r="H42" s="75"/>
      <c r="I42" s="83">
        <f t="shared" si="2"/>
        <v>0.14352755588986779</v>
      </c>
    </row>
    <row r="43" spans="1:10" ht="15.75" x14ac:dyDescent="0.25">
      <c r="A43" s="47" t="s">
        <v>26</v>
      </c>
      <c r="B43" s="47"/>
      <c r="C43" s="77"/>
      <c r="D43" s="47"/>
      <c r="E43" s="47"/>
      <c r="F43" s="65">
        <f>SUM(F37:F42)</f>
        <v>18013.428571428572</v>
      </c>
      <c r="G43" s="90">
        <f>F43/Inputs!$H$36</f>
        <v>9.006714285714286E-2</v>
      </c>
      <c r="H43" s="75"/>
      <c r="I43" s="83">
        <f t="shared" si="2"/>
        <v>0.23040055547265426</v>
      </c>
    </row>
    <row r="44" spans="1:10" x14ac:dyDescent="0.2">
      <c r="G44" s="76"/>
      <c r="H44" s="75"/>
      <c r="I44" s="83"/>
    </row>
    <row r="45" spans="1:10" ht="15.75" x14ac:dyDescent="0.25">
      <c r="A45" s="47" t="s">
        <v>27</v>
      </c>
      <c r="B45" s="47"/>
      <c r="C45" s="77"/>
      <c r="D45" s="47"/>
      <c r="E45" s="47"/>
      <c r="F45" s="65">
        <f>F43+F33</f>
        <v>78183.095238095237</v>
      </c>
      <c r="G45" s="91">
        <f>F45/Inputs!$H$36</f>
        <v>0.39091547619047617</v>
      </c>
      <c r="H45" s="75"/>
      <c r="I45" s="83">
        <f>F45/$F$45</f>
        <v>1</v>
      </c>
    </row>
    <row r="46" spans="1:10" x14ac:dyDescent="0.2">
      <c r="G46" s="76"/>
      <c r="H46" s="76"/>
    </row>
    <row r="47" spans="1:10" ht="15.75" x14ac:dyDescent="0.25">
      <c r="A47" s="47" t="s">
        <v>91</v>
      </c>
      <c r="B47" s="47"/>
      <c r="C47" s="77"/>
      <c r="D47" s="47"/>
      <c r="E47" s="47"/>
      <c r="F47" s="65">
        <f>F15-F45</f>
        <v>21816.904761904763</v>
      </c>
      <c r="G47" s="92"/>
      <c r="H47" s="92"/>
    </row>
    <row r="49" spans="2:9" s="47" customFormat="1" ht="15.75" x14ac:dyDescent="0.25">
      <c r="B49" s="47" t="s">
        <v>49</v>
      </c>
      <c r="C49" s="77"/>
      <c r="F49" s="66"/>
      <c r="I49" s="77"/>
    </row>
    <row r="50" spans="2:9" ht="47.25" x14ac:dyDescent="0.25">
      <c r="B50" s="47"/>
      <c r="C50" s="61" t="s">
        <v>92</v>
      </c>
      <c r="D50" s="93" t="s">
        <v>91</v>
      </c>
      <c r="F50" s="94"/>
    </row>
    <row r="51" spans="2:9" x14ac:dyDescent="0.2">
      <c r="B51" s="48" t="s">
        <v>87</v>
      </c>
      <c r="C51" s="67">
        <f>G45</f>
        <v>0.39091547619047617</v>
      </c>
      <c r="D51" s="75">
        <f>F47/Inputs!H36</f>
        <v>0.10908452380952381</v>
      </c>
      <c r="F51" s="94"/>
    </row>
    <row r="52" spans="2:9" x14ac:dyDescent="0.2">
      <c r="B52" s="48" t="s">
        <v>88</v>
      </c>
      <c r="C52" s="95">
        <f>H45</f>
        <v>0</v>
      </c>
      <c r="D52" s="76">
        <f>F47/Inputs!B19</f>
        <v>0.10908452380952381</v>
      </c>
    </row>
  </sheetData>
  <sheetProtection algorithmName="SHA-512" hashValue="lJnyheM4f0gJODrXB2gER2l3tceuH2prLnUgFdqGMXDV2fHQk/A9ojcZcKPXYw+hZHW5k871nRTSWAY9IRGODw==" saltValue="OZFoMGXIXmcRQwplXxl+zw==" spinCount="100000" sheet="1" objects="1" scenarios="1" selectLockedCells="1" selectUnlockedCells="1"/>
  <mergeCells count="2">
    <mergeCell ref="A18:B18"/>
    <mergeCell ref="A36:B36"/>
  </mergeCells>
  <printOptions headings="1" gridLines="1"/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F20"/>
  <sheetViews>
    <sheetView workbookViewId="0">
      <selection activeCell="C5" sqref="C5"/>
    </sheetView>
  </sheetViews>
  <sheetFormatPr defaultRowHeight="15" x14ac:dyDescent="0.25"/>
  <cols>
    <col min="1" max="1" width="9" customWidth="1"/>
    <col min="2" max="2" width="11.5703125" bestFit="1" customWidth="1"/>
    <col min="3" max="3" width="10" bestFit="1" customWidth="1"/>
    <col min="4" max="4" width="13.7109375" customWidth="1"/>
    <col min="6" max="6" width="11.5703125" bestFit="1" customWidth="1"/>
  </cols>
  <sheetData>
    <row r="1" spans="1:6" ht="18.75" x14ac:dyDescent="0.3">
      <c r="A1" s="30" t="s">
        <v>28</v>
      </c>
    </row>
    <row r="3" spans="1:6" x14ac:dyDescent="0.25">
      <c r="A3" s="4" t="s">
        <v>116</v>
      </c>
      <c r="F3" s="2">
        <f>'Start Up Capital Cost'!E28</f>
        <v>79900</v>
      </c>
    </row>
    <row r="4" spans="1:6" x14ac:dyDescent="0.25">
      <c r="A4" s="4" t="s">
        <v>31</v>
      </c>
      <c r="C4">
        <f>Inputs!B25</f>
        <v>1</v>
      </c>
    </row>
    <row r="6" spans="1:6" x14ac:dyDescent="0.25">
      <c r="A6" s="4" t="s">
        <v>29</v>
      </c>
      <c r="B6" s="4" t="s">
        <v>12</v>
      </c>
      <c r="C6" s="4" t="s">
        <v>30</v>
      </c>
      <c r="D6" s="4" t="s">
        <v>32</v>
      </c>
    </row>
    <row r="7" spans="1:6" x14ac:dyDescent="0.25">
      <c r="A7">
        <v>0</v>
      </c>
      <c r="B7" s="2">
        <f>IF(E7=TRUE,'Yearly Enterprise Budget'!$F$15,0)</f>
        <v>0</v>
      </c>
      <c r="C7" s="3">
        <f>F3</f>
        <v>79900</v>
      </c>
      <c r="D7" s="3">
        <f>-C7</f>
        <v>-79900</v>
      </c>
      <c r="E7" t="b">
        <f>OR(A7=$C$4,A7&gt;$C$4)</f>
        <v>0</v>
      </c>
    </row>
    <row r="8" spans="1:6" x14ac:dyDescent="0.25">
      <c r="A8">
        <v>1</v>
      </c>
      <c r="B8" s="2">
        <f>IF(E8=TRUE,'Yearly Enterprise Budget'!$F$15,0)</f>
        <v>100000</v>
      </c>
      <c r="C8" s="3">
        <f>'Yearly Enterprise Budget'!$F$45</f>
        <v>78183.095238095237</v>
      </c>
      <c r="D8" s="3">
        <f>D7+B8-C8</f>
        <v>-58083.095238095237</v>
      </c>
      <c r="E8" t="b">
        <f t="shared" ref="E8:E17" si="0">OR(A8=$C$4,A8&gt;$C$4)</f>
        <v>1</v>
      </c>
    </row>
    <row r="9" spans="1:6" x14ac:dyDescent="0.25">
      <c r="A9">
        <v>2</v>
      </c>
      <c r="B9" s="2">
        <f>IF(E9=TRUE,'Yearly Enterprise Budget'!$F$15,0)</f>
        <v>100000</v>
      </c>
      <c r="C9" s="3">
        <f>'Yearly Enterprise Budget'!$F$45</f>
        <v>78183.095238095237</v>
      </c>
      <c r="D9" s="3">
        <f>D8+B9-C9</f>
        <v>-36266.190476190473</v>
      </c>
      <c r="E9" t="b">
        <f t="shared" si="0"/>
        <v>1</v>
      </c>
    </row>
    <row r="10" spans="1:6" x14ac:dyDescent="0.25">
      <c r="A10">
        <v>3</v>
      </c>
      <c r="B10" s="2">
        <f>IF(E10=TRUE,'Yearly Enterprise Budget'!$F$15,0)</f>
        <v>100000</v>
      </c>
      <c r="C10" s="3">
        <f>'Yearly Enterprise Budget'!$F$45</f>
        <v>78183.095238095237</v>
      </c>
      <c r="D10" s="3">
        <f t="shared" ref="D10:D17" si="1">D9+B10-C10</f>
        <v>-14449.28571428571</v>
      </c>
      <c r="E10" t="b">
        <f t="shared" si="0"/>
        <v>1</v>
      </c>
    </row>
    <row r="11" spans="1:6" x14ac:dyDescent="0.25">
      <c r="A11">
        <v>4</v>
      </c>
      <c r="B11" s="2">
        <f>IF(E11=TRUE,'Yearly Enterprise Budget'!$F$15,0)</f>
        <v>100000</v>
      </c>
      <c r="C11" s="3">
        <f>'Yearly Enterprise Budget'!$F$45</f>
        <v>78183.095238095237</v>
      </c>
      <c r="D11" s="3">
        <f t="shared" si="1"/>
        <v>7367.6190476190532</v>
      </c>
      <c r="E11" t="b">
        <f t="shared" si="0"/>
        <v>1</v>
      </c>
    </row>
    <row r="12" spans="1:6" x14ac:dyDescent="0.25">
      <c r="A12">
        <v>5</v>
      </c>
      <c r="B12" s="2">
        <f>IF(E12=TRUE,'Yearly Enterprise Budget'!$F$15,0)</f>
        <v>100000</v>
      </c>
      <c r="C12" s="3">
        <f>'Yearly Enterprise Budget'!$F$45</f>
        <v>78183.095238095237</v>
      </c>
      <c r="D12" s="3">
        <f t="shared" si="1"/>
        <v>29184.523809523816</v>
      </c>
      <c r="E12" t="b">
        <f t="shared" si="0"/>
        <v>1</v>
      </c>
    </row>
    <row r="13" spans="1:6" x14ac:dyDescent="0.25">
      <c r="A13">
        <v>6</v>
      </c>
      <c r="B13" s="2">
        <f>IF(E13=TRUE,'Yearly Enterprise Budget'!$F$15,0)</f>
        <v>100000</v>
      </c>
      <c r="C13" s="3">
        <f>'Yearly Enterprise Budget'!$F$45</f>
        <v>78183.095238095237</v>
      </c>
      <c r="D13" s="3">
        <f t="shared" si="1"/>
        <v>51001.42857142858</v>
      </c>
      <c r="E13" t="b">
        <f t="shared" si="0"/>
        <v>1</v>
      </c>
    </row>
    <row r="14" spans="1:6" x14ac:dyDescent="0.25">
      <c r="A14">
        <v>7</v>
      </c>
      <c r="B14" s="2">
        <f>IF(E14=TRUE,'Yearly Enterprise Budget'!$F$15,0)</f>
        <v>100000</v>
      </c>
      <c r="C14" s="3">
        <f>'Yearly Enterprise Budget'!$F$45</f>
        <v>78183.095238095237</v>
      </c>
      <c r="D14" s="3">
        <f t="shared" si="1"/>
        <v>72818.333333333343</v>
      </c>
      <c r="E14" t="b">
        <f t="shared" si="0"/>
        <v>1</v>
      </c>
    </row>
    <row r="15" spans="1:6" x14ac:dyDescent="0.25">
      <c r="A15">
        <v>8</v>
      </c>
      <c r="B15" s="2">
        <f>IF(E15=TRUE,'Yearly Enterprise Budget'!$F$15,0)</f>
        <v>100000</v>
      </c>
      <c r="C15" s="3">
        <f>'Yearly Enterprise Budget'!$F$45</f>
        <v>78183.095238095237</v>
      </c>
      <c r="D15" s="3">
        <f t="shared" si="1"/>
        <v>94635.238095238106</v>
      </c>
      <c r="E15" t="b">
        <f t="shared" si="0"/>
        <v>1</v>
      </c>
    </row>
    <row r="16" spans="1:6" x14ac:dyDescent="0.25">
      <c r="A16">
        <v>9</v>
      </c>
      <c r="B16" s="2">
        <f>IF(E16=TRUE,'Yearly Enterprise Budget'!$F$15,0)</f>
        <v>100000</v>
      </c>
      <c r="C16" s="3">
        <f>'Yearly Enterprise Budget'!$F$45</f>
        <v>78183.095238095237</v>
      </c>
      <c r="D16" s="3">
        <f t="shared" si="1"/>
        <v>116452.14285714287</v>
      </c>
      <c r="E16" t="b">
        <f t="shared" si="0"/>
        <v>1</v>
      </c>
    </row>
    <row r="17" spans="1:5" x14ac:dyDescent="0.25">
      <c r="A17">
        <v>10</v>
      </c>
      <c r="B17" s="2">
        <f>IF(E17=TRUE,'Yearly Enterprise Budget'!$F$15,0)</f>
        <v>100000</v>
      </c>
      <c r="C17" s="3">
        <f>'Yearly Enterprise Budget'!$F$45</f>
        <v>78183.095238095237</v>
      </c>
      <c r="D17" s="3">
        <f t="shared" si="1"/>
        <v>138269.04761904763</v>
      </c>
      <c r="E17" t="b">
        <f t="shared" si="0"/>
        <v>1</v>
      </c>
    </row>
    <row r="20" spans="1:5" x14ac:dyDescent="0.25">
      <c r="A20" s="4" t="s">
        <v>33</v>
      </c>
      <c r="B20" s="4"/>
      <c r="C20" s="4"/>
      <c r="D20" s="32">
        <f>IRR(D7:D17)</f>
        <v>0.14905170439749349</v>
      </c>
    </row>
  </sheetData>
  <printOptions headings="1" gridLines="1"/>
  <pageMargins left="0.7" right="0.7" top="0.75" bottom="0.75" header="0.3" footer="0.3"/>
  <pageSetup scale="86" orientation="landscape" verticalDpi="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L22"/>
  <sheetViews>
    <sheetView workbookViewId="0">
      <selection activeCell="I6" sqref="I6"/>
    </sheetView>
  </sheetViews>
  <sheetFormatPr defaultRowHeight="15" x14ac:dyDescent="0.25"/>
  <cols>
    <col min="2" max="2" width="15.140625" customWidth="1"/>
    <col min="3" max="3" width="14.85546875" customWidth="1"/>
    <col min="4" max="4" width="11.5703125" bestFit="1" customWidth="1"/>
    <col min="5" max="5" width="11.42578125" customWidth="1"/>
    <col min="6" max="7" width="11.5703125" bestFit="1" customWidth="1"/>
  </cols>
  <sheetData>
    <row r="1" spans="1:12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B2" s="123" t="s">
        <v>96</v>
      </c>
      <c r="C2" s="124"/>
      <c r="D2" s="124"/>
      <c r="E2" s="124"/>
      <c r="F2" s="125"/>
      <c r="G2" s="9"/>
      <c r="H2" s="9"/>
      <c r="I2" s="9"/>
      <c r="J2" s="9"/>
      <c r="K2" s="9"/>
      <c r="L2" s="9"/>
    </row>
    <row r="3" spans="1:12" s="31" customFormat="1" ht="45" x14ac:dyDescent="0.25">
      <c r="B3" s="33"/>
      <c r="C3" s="34" t="s">
        <v>46</v>
      </c>
      <c r="D3" s="34" t="s">
        <v>97</v>
      </c>
      <c r="E3" s="34" t="s">
        <v>98</v>
      </c>
      <c r="F3" s="35"/>
      <c r="G3" s="34"/>
      <c r="H3" s="34"/>
      <c r="I3" s="34"/>
      <c r="J3" s="34"/>
      <c r="K3" s="34"/>
      <c r="L3" s="34"/>
    </row>
    <row r="4" spans="1:12" ht="15" customHeight="1" x14ac:dyDescent="0.25">
      <c r="A4" s="8"/>
      <c r="B4" s="36" t="s">
        <v>45</v>
      </c>
      <c r="C4" s="15">
        <f>'Yearly Enterprise Budget'!C12/Inputs!B20</f>
        <v>333.33333333333331</v>
      </c>
      <c r="D4" s="16">
        <f>'Yearly Enterprise Budget'!E12*Inputs!B21</f>
        <v>0</v>
      </c>
      <c r="E4" s="17">
        <f>C4/($C$4+$C$5)</f>
        <v>1</v>
      </c>
      <c r="F4" s="121">
        <f>(D4*E4)+(D5*E5)</f>
        <v>0</v>
      </c>
      <c r="G4" s="7"/>
      <c r="H4" s="7"/>
      <c r="I4" s="7"/>
      <c r="J4" s="7"/>
      <c r="K4" s="7"/>
      <c r="L4" s="7"/>
    </row>
    <row r="5" spans="1:12" x14ac:dyDescent="0.25">
      <c r="A5" s="8"/>
      <c r="B5" s="37"/>
      <c r="C5" s="42">
        <f>'Yearly Enterprise Budget'!C13</f>
        <v>0</v>
      </c>
      <c r="D5" s="13">
        <f>'Yearly Enterprise Budget'!E13</f>
        <v>0</v>
      </c>
      <c r="E5" s="14">
        <f>C5/($C$4+$C$5)</f>
        <v>0</v>
      </c>
      <c r="F5" s="122"/>
      <c r="G5" s="7"/>
      <c r="H5" s="7"/>
      <c r="I5" s="7"/>
      <c r="J5" s="7"/>
      <c r="K5" s="7"/>
      <c r="L5" s="7"/>
    </row>
    <row r="6" spans="1:12" x14ac:dyDescent="0.25">
      <c r="A6" s="8"/>
      <c r="B6" s="37" t="s">
        <v>50</v>
      </c>
      <c r="C6" s="43">
        <f>SUM(C4:C5)</f>
        <v>333.33333333333331</v>
      </c>
      <c r="D6" s="18"/>
      <c r="E6" s="18"/>
      <c r="F6" s="19"/>
      <c r="G6" s="7"/>
      <c r="H6" s="7"/>
      <c r="I6" s="7"/>
      <c r="J6" s="7"/>
      <c r="K6" s="7"/>
      <c r="L6" s="7"/>
    </row>
    <row r="7" spans="1:12" x14ac:dyDescent="0.25">
      <c r="A7" s="8"/>
      <c r="B7" s="10"/>
      <c r="C7" s="12"/>
      <c r="D7" s="11"/>
      <c r="E7" s="11"/>
      <c r="F7" s="11"/>
      <c r="G7" s="7"/>
      <c r="H7" s="7"/>
      <c r="I7" s="7"/>
      <c r="J7" s="7"/>
      <c r="K7" s="7"/>
      <c r="L7" s="7"/>
    </row>
    <row r="8" spans="1:12" ht="15.75" x14ac:dyDescent="0.25">
      <c r="A8" s="8"/>
      <c r="B8" s="126" t="s">
        <v>54</v>
      </c>
      <c r="C8" s="126"/>
      <c r="D8" s="126"/>
      <c r="E8" s="126"/>
      <c r="F8" s="126"/>
      <c r="G8" s="126"/>
      <c r="H8" s="7"/>
      <c r="I8" s="7"/>
      <c r="J8" s="7"/>
      <c r="K8" s="7"/>
      <c r="L8" s="7"/>
    </row>
    <row r="9" spans="1:12" ht="15.75" thickBot="1" x14ac:dyDescent="0.3">
      <c r="A9" s="8"/>
      <c r="B9" s="10"/>
      <c r="C9" s="10"/>
      <c r="D9" s="11"/>
      <c r="E9" s="11"/>
      <c r="F9" s="11"/>
      <c r="G9" s="7"/>
      <c r="H9" s="7"/>
      <c r="I9" s="7"/>
      <c r="J9" s="7"/>
      <c r="K9" s="7"/>
      <c r="L9" s="7"/>
    </row>
    <row r="10" spans="1:12" x14ac:dyDescent="0.25">
      <c r="A10" s="29"/>
      <c r="B10" s="132"/>
      <c r="C10" s="127" t="s">
        <v>99</v>
      </c>
      <c r="D10" s="128"/>
      <c r="E10" s="128"/>
      <c r="F10" s="128"/>
      <c r="G10" s="129"/>
      <c r="H10" s="7"/>
      <c r="I10" s="7"/>
      <c r="J10" s="7"/>
      <c r="K10" s="7"/>
      <c r="L10" s="7"/>
    </row>
    <row r="11" spans="1:12" x14ac:dyDescent="0.25">
      <c r="A11" s="130" t="s">
        <v>96</v>
      </c>
      <c r="B11" s="133"/>
      <c r="C11" s="38">
        <f>D11-1000</f>
        <v>-1666.6666666666667</v>
      </c>
      <c r="D11" s="38">
        <f>E11-1000</f>
        <v>-666.66666666666674</v>
      </c>
      <c r="E11" s="38">
        <f>C6</f>
        <v>333.33333333333331</v>
      </c>
      <c r="F11" s="38">
        <f>E11+1000</f>
        <v>1333.3333333333333</v>
      </c>
      <c r="G11" s="39">
        <f>F11+1000</f>
        <v>2333.333333333333</v>
      </c>
      <c r="H11" s="7"/>
      <c r="I11" s="7"/>
      <c r="J11" s="7"/>
      <c r="K11" s="7"/>
      <c r="L11" s="7"/>
    </row>
    <row r="12" spans="1:12" x14ac:dyDescent="0.25">
      <c r="A12" s="130"/>
      <c r="B12" s="40">
        <f t="shared" ref="B12:B14" si="0">B13-5</f>
        <v>-20</v>
      </c>
      <c r="C12" s="21">
        <f>(B12*$C$11)-'Yearly Enterprise Budget'!$F$45</f>
        <v>-44849.761904761901</v>
      </c>
      <c r="D12" s="21">
        <f>(B12*$D$11)-'Yearly Enterprise Budget'!$F$45</f>
        <v>-64849.761904761901</v>
      </c>
      <c r="E12" s="21">
        <f>(B12*$E$11)-'Yearly Enterprise Budget'!$F$45</f>
        <v>-84849.761904761908</v>
      </c>
      <c r="F12" s="21">
        <f>(B12*$F$11)-'Yearly Enterprise Budget'!$F$45</f>
        <v>-104849.76190476189</v>
      </c>
      <c r="G12" s="22">
        <f>(B12*$G$11)-'Yearly Enterprise Budget'!$F$45</f>
        <v>-124849.76190476189</v>
      </c>
      <c r="H12" s="7"/>
      <c r="I12" s="7"/>
      <c r="J12" s="7"/>
      <c r="K12" s="7"/>
      <c r="L12" s="7"/>
    </row>
    <row r="13" spans="1:12" x14ac:dyDescent="0.25">
      <c r="A13" s="130"/>
      <c r="B13" s="40">
        <f t="shared" si="0"/>
        <v>-15</v>
      </c>
      <c r="C13" s="21">
        <f>(B13*$C$11)-'Yearly Enterprise Budget'!$F$45</f>
        <v>-53183.095238095237</v>
      </c>
      <c r="D13" s="21">
        <f>(B13*$D$11)-'Yearly Enterprise Budget'!$F$45</f>
        <v>-68183.095238095237</v>
      </c>
      <c r="E13" s="21">
        <f>(B13*$E$11)-'Yearly Enterprise Budget'!$F$45</f>
        <v>-83183.095238095237</v>
      </c>
      <c r="F13" s="21">
        <f>(B13*$F$11)-'Yearly Enterprise Budget'!$F$45</f>
        <v>-98183.095238095237</v>
      </c>
      <c r="G13" s="22">
        <f>(B13*$G$11)-'Yearly Enterprise Budget'!$F$45</f>
        <v>-113183.09523809524</v>
      </c>
      <c r="H13" s="7"/>
      <c r="I13" s="7"/>
      <c r="J13" s="7"/>
      <c r="K13" s="7"/>
      <c r="L13" s="7"/>
    </row>
    <row r="14" spans="1:12" x14ac:dyDescent="0.25">
      <c r="A14" s="130"/>
      <c r="B14" s="40">
        <f t="shared" si="0"/>
        <v>-10</v>
      </c>
      <c r="C14" s="21">
        <f>(B14*$C$11)-'Yearly Enterprise Budget'!$F$45</f>
        <v>-61516.428571428565</v>
      </c>
      <c r="D14" s="21">
        <f>(B14*$D$11)-'Yearly Enterprise Budget'!$F$45</f>
        <v>-71516.428571428565</v>
      </c>
      <c r="E14" s="21">
        <f>(B14*$E$11)-'Yearly Enterprise Budget'!$F$45</f>
        <v>-81516.428571428565</v>
      </c>
      <c r="F14" s="21">
        <f>(B14*$F$11)-'Yearly Enterprise Budget'!$F$45</f>
        <v>-91516.428571428565</v>
      </c>
      <c r="G14" s="22">
        <f>(B14*$G$11)-'Yearly Enterprise Budget'!$F$45</f>
        <v>-101516.42857142857</v>
      </c>
      <c r="H14" s="7"/>
      <c r="I14" s="7"/>
      <c r="J14" s="7"/>
      <c r="K14" s="7"/>
      <c r="L14" s="7"/>
    </row>
    <row r="15" spans="1:12" ht="15.75" thickBot="1" x14ac:dyDescent="0.3">
      <c r="A15" s="130"/>
      <c r="B15" s="40">
        <f>B16-5</f>
        <v>-5</v>
      </c>
      <c r="C15" s="21">
        <f>(B15*$C$11)-'Yearly Enterprise Budget'!$F$45</f>
        <v>-69849.761904761908</v>
      </c>
      <c r="D15" s="21">
        <f>(B15*$D$11)-'Yearly Enterprise Budget'!$F$45</f>
        <v>-74849.761904761908</v>
      </c>
      <c r="E15" s="27">
        <f>(B15*$E$11)-'Yearly Enterprise Budget'!$F$45</f>
        <v>-79849.761904761908</v>
      </c>
      <c r="F15" s="21">
        <f>(B15*$F$11)-'Yearly Enterprise Budget'!$F$45</f>
        <v>-84849.761904761908</v>
      </c>
      <c r="G15" s="22">
        <f>(B15*$G$11)-'Yearly Enterprise Budget'!$F$45</f>
        <v>-89849.761904761894</v>
      </c>
      <c r="H15" s="7"/>
      <c r="I15" s="7"/>
      <c r="J15" s="7"/>
      <c r="K15" s="7"/>
      <c r="L15" s="7"/>
    </row>
    <row r="16" spans="1:12" ht="15.75" thickBot="1" x14ac:dyDescent="0.3">
      <c r="A16" s="130"/>
      <c r="B16" s="40">
        <f>F4</f>
        <v>0</v>
      </c>
      <c r="C16" s="21">
        <f>(B16*$C$11)-'Yearly Enterprise Budget'!$F$45</f>
        <v>-78183.095238095237</v>
      </c>
      <c r="D16" s="25">
        <f>(B16*$D$11)-'Yearly Enterprise Budget'!$F$45</f>
        <v>-78183.095238095237</v>
      </c>
      <c r="E16" s="20">
        <f>(E11*B16)-'Yearly Enterprise Budget'!F45</f>
        <v>-78183.095238095237</v>
      </c>
      <c r="F16" s="26">
        <f>(B16*$F$11)-'Yearly Enterprise Budget'!$F$45</f>
        <v>-78183.095238095237</v>
      </c>
      <c r="G16" s="22">
        <f>(B16*$G$11)-'Yearly Enterprise Budget'!$F$45</f>
        <v>-78183.095238095237</v>
      </c>
      <c r="H16" s="7"/>
      <c r="I16" s="7"/>
      <c r="J16" s="7"/>
      <c r="K16" s="7"/>
      <c r="L16" s="7"/>
    </row>
    <row r="17" spans="1:7" x14ac:dyDescent="0.25">
      <c r="A17" s="130"/>
      <c r="B17" s="40">
        <f>B16+5</f>
        <v>5</v>
      </c>
      <c r="C17" s="21">
        <f>(B17*$C$11)-'Yearly Enterprise Budget'!$F$45</f>
        <v>-86516.428571428565</v>
      </c>
      <c r="D17" s="21">
        <f>(B17*$D$11)-'Yearly Enterprise Budget'!$F$45</f>
        <v>-81516.428571428565</v>
      </c>
      <c r="E17" s="28">
        <f>(B17*$E$11)-'Yearly Enterprise Budget'!$F$45</f>
        <v>-76516.428571428565</v>
      </c>
      <c r="F17" s="21">
        <f>(B17*$F$11)-'Yearly Enterprise Budget'!$F$45</f>
        <v>-71516.428571428565</v>
      </c>
      <c r="G17" s="22">
        <f>(B17*$G$11)-'Yearly Enterprise Budget'!$F$45</f>
        <v>-66516.42857142858</v>
      </c>
    </row>
    <row r="18" spans="1:7" x14ac:dyDescent="0.25">
      <c r="A18" s="130"/>
      <c r="B18" s="40">
        <f t="shared" ref="B18:B20" si="1">B17+5</f>
        <v>10</v>
      </c>
      <c r="C18" s="21">
        <f>(B18*$C$11)-'Yearly Enterprise Budget'!$F$45</f>
        <v>-94849.761904761908</v>
      </c>
      <c r="D18" s="21">
        <f>(B18*$D$11)-'Yearly Enterprise Budget'!$F$45</f>
        <v>-84849.761904761908</v>
      </c>
      <c r="E18" s="21">
        <f>(B18*$E$11)-'Yearly Enterprise Budget'!$F$45</f>
        <v>-74849.761904761908</v>
      </c>
      <c r="F18" s="21">
        <f>(B18*$F$11)-'Yearly Enterprise Budget'!$F$45</f>
        <v>-64849.761904761908</v>
      </c>
      <c r="G18" s="22">
        <f>(B18*$G$11)-'Yearly Enterprise Budget'!$F$45</f>
        <v>-54849.761904761908</v>
      </c>
    </row>
    <row r="19" spans="1:7" x14ac:dyDescent="0.25">
      <c r="A19" s="130"/>
      <c r="B19" s="40">
        <f t="shared" si="1"/>
        <v>15</v>
      </c>
      <c r="C19" s="21">
        <f>(B19*$C$11)-'Yearly Enterprise Budget'!$F$45</f>
        <v>-103183.09523809524</v>
      </c>
      <c r="D19" s="21">
        <f>(B19*$D$11)-'Yearly Enterprise Budget'!$F$45</f>
        <v>-88183.095238095237</v>
      </c>
      <c r="E19" s="21">
        <f>(B19*$E$11)-'Yearly Enterprise Budget'!$F$45</f>
        <v>-73183.095238095237</v>
      </c>
      <c r="F19" s="21">
        <f>(B19*$F$11)-'Yearly Enterprise Budget'!$F$45</f>
        <v>-58183.095238095237</v>
      </c>
      <c r="G19" s="22">
        <f>(B19*$G$11)-'Yearly Enterprise Budget'!$F$45</f>
        <v>-43183.095238095244</v>
      </c>
    </row>
    <row r="20" spans="1:7" ht="15.75" thickBot="1" x14ac:dyDescent="0.3">
      <c r="A20" s="131"/>
      <c r="B20" s="41">
        <f t="shared" si="1"/>
        <v>20</v>
      </c>
      <c r="C20" s="23">
        <f>(B20*$C$11)-'Yearly Enterprise Budget'!$F$45</f>
        <v>-111516.42857142858</v>
      </c>
      <c r="D20" s="23">
        <f>(B20*$D$11)-'Yearly Enterprise Budget'!$F$45</f>
        <v>-91516.42857142858</v>
      </c>
      <c r="E20" s="23">
        <f>(B20*$E$11)-'Yearly Enterprise Budget'!$F$45</f>
        <v>-71516.428571428565</v>
      </c>
      <c r="F20" s="23">
        <f>(B20*$F$11)-'Yearly Enterprise Budget'!$F$45</f>
        <v>-51516.428571428572</v>
      </c>
      <c r="G20" s="24">
        <f>(B20*$G$11)-'Yearly Enterprise Budget'!$F$45</f>
        <v>-31516.42857142858</v>
      </c>
    </row>
    <row r="22" spans="1:7" x14ac:dyDescent="0.25">
      <c r="A22" s="5" t="s">
        <v>48</v>
      </c>
    </row>
  </sheetData>
  <mergeCells count="6">
    <mergeCell ref="F4:F5"/>
    <mergeCell ref="B2:F2"/>
    <mergeCell ref="B8:G8"/>
    <mergeCell ref="C10:G10"/>
    <mergeCell ref="A11:A20"/>
    <mergeCell ref="B10:B11"/>
  </mergeCells>
  <printOptions headings="1" gridLines="1"/>
  <pageMargins left="0.7" right="0.7" top="0.75" bottom="0.75" header="0.3" footer="0.3"/>
  <pageSetup orientation="landscape" verticalDpi="2" r:id="rId1"/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Inputs</vt:lpstr>
      <vt:lpstr>Start Up Capital Cost</vt:lpstr>
      <vt:lpstr>Yearly Enterprise Budget</vt:lpstr>
      <vt:lpstr>Yearly Cash Flow Analysis</vt:lpstr>
      <vt:lpstr>Sensitivity Analysis</vt:lpstr>
      <vt:lpstr>'Yearly Enterprise Budget'!Print_Area</vt:lpstr>
    </vt:vector>
  </TitlesOfParts>
  <Company>AGNR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</dc:creator>
  <cp:lastModifiedBy>James Helms</cp:lastModifiedBy>
  <cp:lastPrinted>2012-11-28T14:44:04Z</cp:lastPrinted>
  <dcterms:created xsi:type="dcterms:W3CDTF">2011-05-19T12:50:34Z</dcterms:created>
  <dcterms:modified xsi:type="dcterms:W3CDTF">2018-10-24T16:44:07Z</dcterms:modified>
</cp:coreProperties>
</file>